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 yWindow="60" windowWidth="22960" windowHeight="10220" activeTab="0"/>
  </bookViews>
  <sheets>
    <sheet name="Model" sheetId="1" r:id="rId1"/>
  </sheets>
  <definedNames>
    <definedName name="_xlnm.Print_Area" localSheetId="0">'Model'!$A:$IV</definedName>
  </definedNames>
  <calcPr fullCalcOnLoad="1"/>
</workbook>
</file>

<file path=xl/sharedStrings.xml><?xml version="1.0" encoding="utf-8"?>
<sst xmlns="http://schemas.openxmlformats.org/spreadsheetml/2006/main" count="203" uniqueCount="164">
  <si>
    <t>Fermentation model for cider</t>
  </si>
  <si>
    <t xml:space="preserve"> Important results appear in the yellow fields - do not overwrite the yellow fields</t>
  </si>
  <si>
    <t xml:space="preserve">Fresh juice SG: </t>
  </si>
  <si>
    <t xml:space="preserve">Degrees Brix: </t>
  </si>
  <si>
    <t>g/100g</t>
  </si>
  <si>
    <t xml:space="preserve">Total acidity (grams of malic acid per liter): </t>
  </si>
  <si>
    <t>g/l</t>
  </si>
  <si>
    <t xml:space="preserve">Volumic mass of the juice (RO) at 20C: </t>
  </si>
  <si>
    <t xml:space="preserve">Quantity or volume of juice (at 20C): </t>
  </si>
  <si>
    <t>liters</t>
  </si>
  <si>
    <t xml:space="preserve">Total mass of juice: </t>
  </si>
  <si>
    <t>kg</t>
  </si>
  <si>
    <t>This really is a fudge factor that permits to modify the sugar concentration of the juice. It is required because we can't know the exact amount of sugar from the SG.</t>
  </si>
  <si>
    <t>This factor is discussed in the article on sugar concentration.</t>
  </si>
  <si>
    <t>The adjustment factor is a correction in % which is added to or substracted from the average sugar (Savg) at the given SG</t>
  </si>
  <si>
    <t>It may be tweaked, but it is preferable to use the adjustment factor instead.</t>
  </si>
  <si>
    <t xml:space="preserve">Average sugar concentration for the given SG, Savg: </t>
  </si>
  <si>
    <t>Factor for calculation of average sugar (Savg)</t>
  </si>
  <si>
    <t xml:space="preserve">Total solids for the given SG (the true value of S cannot exceed this value) TS: </t>
  </si>
  <si>
    <t>Enter here your adjustment factor. Note that it should normally be less than +/- 11.3% as this number corresponds to the 95% confidence interval.</t>
  </si>
  <si>
    <t>For this factor, a value of 0.061 gives the best correlation with the present model</t>
  </si>
  <si>
    <t xml:space="preserve">Adjustment factor for sugar (+ / -): </t>
  </si>
  <si>
    <t>%</t>
  </si>
  <si>
    <t xml:space="preserve">Adjusted sugar content (S): </t>
  </si>
  <si>
    <t>A value of 0.060 corresponds to the value given by Warcollier in La Cidrerie</t>
  </si>
  <si>
    <t xml:space="preserve">Potential alcohol: </t>
  </si>
  <si>
    <t>Factor for potential alcohol</t>
  </si>
  <si>
    <t>This section is to compute the effect of sugar and water additions to the must (the water may be added to dissolve the sugar prior to mixing, or to dilute the must)</t>
  </si>
  <si>
    <t>Note: to dissolve the sugar, a quantity of water of 2/3 to 3/4 of the quantity of sugar is usually adequate.</t>
  </si>
  <si>
    <t xml:space="preserve">Quantity of sugar added (grams per liter of juice): </t>
  </si>
  <si>
    <t xml:space="preserve">Total amount to add: </t>
  </si>
  <si>
    <t>kg of sugar</t>
  </si>
  <si>
    <t xml:space="preserve">Quantity of water added (ml per liter of juice): </t>
  </si>
  <si>
    <t>ml/l</t>
  </si>
  <si>
    <t>liters of water</t>
  </si>
  <si>
    <t xml:space="preserve">Must SG after addition: </t>
  </si>
  <si>
    <t xml:space="preserve">SG variation: </t>
  </si>
  <si>
    <t xml:space="preserve">Brix (g/100g): </t>
  </si>
  <si>
    <t>4- Condition of the must after the main fermentation</t>
  </si>
  <si>
    <t>Enter a value for residual sugar if you wish the program to compute the final conditions assuming that some of the sugar is not fermented</t>
  </si>
  <si>
    <t xml:space="preserve">Residual sugar (grams per liter): </t>
  </si>
  <si>
    <t xml:space="preserve">SG: </t>
  </si>
  <si>
    <t xml:space="preserve">Alcoholic strength: </t>
  </si>
  <si>
    <t>% ABV</t>
  </si>
  <si>
    <t>5- Priming sugar and natural carbonation</t>
  </si>
  <si>
    <t>Enter the quantity of priming sugar for natural carbonation and of water to dilute this sugar</t>
  </si>
  <si>
    <t xml:space="preserve">Volume of cider considered: </t>
  </si>
  <si>
    <t>Liters</t>
  </si>
  <si>
    <t xml:space="preserve">Cider SG after addition: </t>
  </si>
  <si>
    <t>6- Finished cider (assuming no MLF)</t>
  </si>
  <si>
    <t xml:space="preserve">Final SG: </t>
  </si>
  <si>
    <t>This is an average value that may be modified. If cider is saturated at final racking, a value of 2 could be used.</t>
  </si>
  <si>
    <t xml:space="preserve">Class of carbonation: </t>
  </si>
  <si>
    <t xml:space="preserve">CO2 in solution (g/l): </t>
  </si>
  <si>
    <t xml:space="preserve">Sweetness: </t>
  </si>
  <si>
    <t xml:space="preserve">Volumes of CO2: </t>
  </si>
  <si>
    <t xml:space="preserve">SG drop: </t>
  </si>
  <si>
    <t>7- Analysis of cider</t>
  </si>
  <si>
    <t>Analysis of the cider should give the following results</t>
  </si>
  <si>
    <t>Boiling the alcohol and replacing with water would give:</t>
  </si>
  <si>
    <t xml:space="preserve">Dry extract (DE): </t>
  </si>
  <si>
    <t xml:space="preserve">SG after alcohol boil-off: </t>
  </si>
  <si>
    <t>From Honneyman regression</t>
  </si>
  <si>
    <t>Honneyman regression</t>
  </si>
  <si>
    <t xml:space="preserve">Sugar free dry extract (SFDE): </t>
  </si>
  <si>
    <t xml:space="preserve">SG variation (SG2-SG1): </t>
  </si>
  <si>
    <t>8- Malolactic fermentation</t>
  </si>
  <si>
    <t>In this section you may evaluate the variation of SG that would be caused by malolactic fermentation</t>
  </si>
  <si>
    <t>Enter the percentage of the malic acid present in the cider that is transformed in lactic acid</t>
  </si>
  <si>
    <t xml:space="preserve">Transformation % of malic acid: </t>
  </si>
  <si>
    <t xml:space="preserve">Total acidity before MLF (malic acid): </t>
  </si>
  <si>
    <t xml:space="preserve">Total acidity after MLF: </t>
  </si>
  <si>
    <t xml:space="preserve">Ratio of alcohol to total SG drop: </t>
  </si>
  <si>
    <t xml:space="preserve">Final SG with MLF: </t>
  </si>
  <si>
    <t xml:space="preserve">SG variation due to MLF: </t>
  </si>
  <si>
    <t>Calculation details    (for T = 20C)</t>
  </si>
  <si>
    <t xml:space="preserve">Calculations are done for: </t>
  </si>
  <si>
    <t>Liter of initial fresh juice</t>
  </si>
  <si>
    <t>Evolution of the main components of the cider through the different stages</t>
  </si>
  <si>
    <t>This is an approximation that neglects the interactions with other substances - all substances in the cider are either in the "Solids" or in the "Other products" categories</t>
  </si>
  <si>
    <t>All values in grams</t>
  </si>
  <si>
    <t>Initial juice</t>
  </si>
  <si>
    <t>1st addition of sugar</t>
  </si>
  <si>
    <t>Must before fermentation</t>
  </si>
  <si>
    <t>fermentation</t>
  </si>
  <si>
    <t>cider after fermentation</t>
  </si>
  <si>
    <t>priming sugar</t>
  </si>
  <si>
    <t>Cider after addition</t>
  </si>
  <si>
    <t>Finished cider</t>
  </si>
  <si>
    <t xml:space="preserve">Water: </t>
  </si>
  <si>
    <t xml:space="preserve">Solids: </t>
  </si>
  <si>
    <t>Coefficients for Pasteur relation</t>
  </si>
  <si>
    <t xml:space="preserve">Alcohol: </t>
  </si>
  <si>
    <t>g/100g of sugar - Rate of production, alcohol - should be between 47 and 48.4</t>
  </si>
  <si>
    <t xml:space="preserve">Carbon dioxide: </t>
  </si>
  <si>
    <t>g/100g of sugar - Rate of production, CO2 - should be between 46.5 and 48</t>
  </si>
  <si>
    <t xml:space="preserve">Other products of fermentation: </t>
  </si>
  <si>
    <t>g/100g of sugar - Rate of production, other products</t>
  </si>
  <si>
    <t xml:space="preserve">Total mass: </t>
  </si>
  <si>
    <t xml:space="preserve">Fermentable sugar: </t>
  </si>
  <si>
    <t xml:space="preserve">Volume (Liters): </t>
  </si>
  <si>
    <t>Blending routine</t>
  </si>
  <si>
    <t>This is a subroutine that permits to calculate the approximative volume of a mixture of water, sugar and alcohol</t>
  </si>
  <si>
    <t>This could have been implemented as a macro, but it is somewhat easier to see how it works the way it is presented here.</t>
  </si>
  <si>
    <t>Inputs as mass in grams</t>
  </si>
  <si>
    <t>RO_water, volumic mass of water at 20C (g/l)</t>
  </si>
  <si>
    <t xml:space="preserve">Water (+ water equivalent): </t>
  </si>
  <si>
    <t xml:space="preserve">Solids (as sugar equivalent): </t>
  </si>
  <si>
    <t>Regression for evaluation of Brix from SG</t>
  </si>
  <si>
    <t>Mixing the solids with the water</t>
  </si>
  <si>
    <t xml:space="preserve">Mass: </t>
  </si>
  <si>
    <t>Regression for evaluation of SG from Brix</t>
  </si>
  <si>
    <t xml:space="preserve">Brix: </t>
  </si>
  <si>
    <t>Adding the alcohol, volumic contraction</t>
  </si>
  <si>
    <t xml:space="preserve">Volume of alcohol (L): </t>
  </si>
  <si>
    <t xml:space="preserve">Sum of volumes: </t>
  </si>
  <si>
    <t xml:space="preserve">Volumic ratio (%): </t>
  </si>
  <si>
    <t>Regression for volumic contraction of water-alcohol solution</t>
  </si>
  <si>
    <t xml:space="preserve">Volumic contraction (%): </t>
  </si>
  <si>
    <t>Results</t>
  </si>
  <si>
    <t xml:space="preserve">Volume of mixture (L): </t>
  </si>
  <si>
    <t xml:space="preserve">Total mass (g): </t>
  </si>
  <si>
    <t xml:space="preserve">Volumic mass (g/l): </t>
  </si>
  <si>
    <t xml:space="preserve">Alcoholic strength (%): </t>
  </si>
  <si>
    <t>Malolactic fermentation</t>
  </si>
  <si>
    <t>For 1 liter of cider</t>
  </si>
  <si>
    <t>Transformed malic acid (per liter)</t>
  </si>
  <si>
    <t>g</t>
  </si>
  <si>
    <t xml:space="preserve">Volume: </t>
  </si>
  <si>
    <t>ml</t>
  </si>
  <si>
    <t>Molar mass of lactic acid C3H6O3</t>
  </si>
  <si>
    <t>Lactic acid produced</t>
  </si>
  <si>
    <t>Molar mass of malic acid C4H6O5</t>
  </si>
  <si>
    <t xml:space="preserve">Mass variation: </t>
  </si>
  <si>
    <t>g (= mass of CO2 produced)</t>
  </si>
  <si>
    <t xml:space="preserve">Volume variation: </t>
  </si>
  <si>
    <t>Volumic mass, lactic acid, 20C (g/l)</t>
  </si>
  <si>
    <t xml:space="preserve">Final mass of cider: </t>
  </si>
  <si>
    <t>grams</t>
  </si>
  <si>
    <t xml:space="preserve">Final volume of cider: </t>
  </si>
  <si>
    <t>liter</t>
  </si>
  <si>
    <t xml:space="preserve">Volumic mass: </t>
  </si>
  <si>
    <t>Volumic mass, malic acid, 20C (g/l)</t>
  </si>
  <si>
    <t>% (+ / -) Tweaking factor for volumic contraction</t>
  </si>
  <si>
    <t>A positive value for this factor will increase the volumic contraction, thus reduce the final volume and increase the final SG</t>
  </si>
  <si>
    <t>g/l Volumic mass of CO2 at standard conditions</t>
  </si>
  <si>
    <t>g/l - Volumic mass of pure alcohol (RO_alcohol) at 20C</t>
  </si>
  <si>
    <t>A negative value will do the opposite and decrease the final SG</t>
  </si>
  <si>
    <t>g/l of CO2 already in solution at final racking, should be between 0 and 2 g/l</t>
  </si>
  <si>
    <t>As discussed in the article on sugar concentration, we can only know the average sugar content from a large number of samples for a given SG.</t>
  </si>
  <si>
    <t>Factor for relation beween TS and SG; TS = 2608 (SG-1)</t>
  </si>
  <si>
    <t>(approximate relation, valid at 20C, and up to SG 1.11)</t>
  </si>
  <si>
    <t>3- Additions to the must (chaptalization) and conditions prior to main fermentation</t>
  </si>
  <si>
    <t>Disclaimer:</t>
  </si>
  <si>
    <t>Author: Claude Jolicoeur, Publisher: Chelsea Green Publishing</t>
  </si>
  <si>
    <t>This software is provided as is, without any garantee of its accuracy.</t>
  </si>
  <si>
    <t>Neither the author nor the publisher are responsible for any loss or damage that could be caused by the use of this software.</t>
  </si>
  <si>
    <t>1- Properties and quantity of fresh juice</t>
  </si>
  <si>
    <t>2- Adjustement to the sugar content</t>
  </si>
  <si>
    <t>Constants and factors used by the spreadsheet - do not modify except those in green fields for tweaking</t>
  </si>
  <si>
    <t>Enter your data in the peach color fields.</t>
  </si>
  <si>
    <t>Do not modify outside the frame as these are important data or calculations for the model (except when in green)</t>
  </si>
  <si>
    <r>
      <t xml:space="preserve">From </t>
    </r>
    <r>
      <rPr>
        <i/>
        <sz val="10"/>
        <rFont val="Arial"/>
        <family val="0"/>
      </rPr>
      <t>The New Cider Maker's Handbook</t>
    </r>
    <r>
      <rPr>
        <sz val="10"/>
        <rFont val="Arial"/>
        <family val="0"/>
      </rPr>
      <t xml:space="preserve"> by Claude Jolicoeur • Copyright © 2013 by Claude Jolicoeur. • All rights reserved.</t>
    </r>
  </si>
  <si>
    <t>This software is companion material to "The New Cider Maker's Handbook"</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</si>
</sst>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m/d"/>
    <numFmt numFmtId="189" formatCode="d/m"/>
    <numFmt numFmtId="190" formatCode="dd/mm/yy"/>
    <numFmt numFmtId="191" formatCode="0.0"/>
    <numFmt numFmtId="192" formatCode=".00"/>
    <numFmt numFmtId="193" formatCode="00,&quot; Li&quot;"/>
    <numFmt numFmtId="194" formatCode="##,&quot; Li&quot;"/>
    <numFmt numFmtId="195" formatCode="00&quot; Li&quot;"/>
    <numFmt numFmtId="196" formatCode="0.000"/>
    <numFmt numFmtId="197" formatCode="0.0%"/>
    <numFmt numFmtId="198" formatCode="0.0000000"/>
    <numFmt numFmtId="199" formatCode="0.0000"/>
    <numFmt numFmtId="200" formatCode="0.000000"/>
    <numFmt numFmtId="201" formatCode="yyyy/mm/dd"/>
    <numFmt numFmtId="202" formatCode="0.00000000000000%"/>
    <numFmt numFmtId="203" formatCode="0.000000000000000"/>
    <numFmt numFmtId="204" formatCode="0.0000000000000000"/>
    <numFmt numFmtId="205" formatCode="0.00000"/>
    <numFmt numFmtId="206" formatCode="0.000%"/>
    <numFmt numFmtId="207" formatCode="0.00000000"/>
    <numFmt numFmtId="208" formatCode="0.000000000000"/>
    <numFmt numFmtId="209" formatCode="0.00000000000"/>
    <numFmt numFmtId="210" formatCode=".000"/>
    <numFmt numFmtId="211" formatCode="0.0000%"/>
    <numFmt numFmtId="212" formatCode="0.00000%"/>
    <numFmt numFmtId="213" formatCode="0.000000E+00"/>
    <numFmt numFmtId="214" formatCode="0.00000000E+00"/>
    <numFmt numFmtId="215" formatCode="0.00000E+00"/>
    <numFmt numFmtId="216" formatCode="0.0000000000000"/>
    <numFmt numFmtId="217" formatCode="0.00000000000000000"/>
  </numFmts>
  <fonts count="40">
    <font>
      <sz val="10"/>
      <name val="Arial"/>
      <family val="0"/>
    </font>
    <font>
      <b/>
      <sz val="10"/>
      <name val="Arial"/>
      <family val="2"/>
    </font>
    <font>
      <b/>
      <sz val="14"/>
      <name val="Arial"/>
      <family val="2"/>
    </font>
    <font>
      <b/>
      <sz val="12"/>
      <name val="Arial"/>
      <family val="2"/>
    </font>
    <font>
      <b/>
      <sz val="11"/>
      <name val="Arial"/>
      <family val="2"/>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i/>
      <sz val="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8"/>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169"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2">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horizontal="right"/>
    </xf>
    <xf numFmtId="15" fontId="0" fillId="0" borderId="10" xfId="0" applyNumberFormat="1" applyBorder="1" applyAlignment="1" quotePrefix="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33" borderId="13" xfId="0" applyNumberFormat="1" applyFont="1" applyFill="1" applyBorder="1" applyAlignment="1">
      <alignment horizontal="left"/>
    </xf>
    <xf numFmtId="0" fontId="0" fillId="0" borderId="14" xfId="0"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12" xfId="0" applyBorder="1" applyAlignment="1">
      <alignment horizontal="right"/>
    </xf>
    <xf numFmtId="0" fontId="4" fillId="0" borderId="12" xfId="0" applyFont="1" applyBorder="1" applyAlignment="1">
      <alignment/>
    </xf>
    <xf numFmtId="0" fontId="5" fillId="0" borderId="0" xfId="0" applyFont="1" applyBorder="1" applyAlignment="1">
      <alignment horizontal="center"/>
    </xf>
    <xf numFmtId="196" fontId="0" fillId="0" borderId="0" xfId="0" applyNumberFormat="1" applyBorder="1" applyAlignment="1">
      <alignment horizontal="right"/>
    </xf>
    <xf numFmtId="2" fontId="1" fillId="33" borderId="13" xfId="0" applyNumberFormat="1" applyFont="1" applyFill="1" applyBorder="1" applyAlignment="1">
      <alignment horizontal="center"/>
    </xf>
    <xf numFmtId="191" fontId="1" fillId="33" borderId="13" xfId="0" applyNumberFormat="1" applyFont="1" applyFill="1" applyBorder="1" applyAlignment="1">
      <alignment horizontal="center"/>
    </xf>
    <xf numFmtId="2" fontId="0" fillId="0" borderId="0" xfId="0" applyNumberFormat="1" applyBorder="1" applyAlignment="1">
      <alignment horizontal="center"/>
    </xf>
    <xf numFmtId="0" fontId="0" fillId="0" borderId="12" xfId="0" applyBorder="1" applyAlignment="1">
      <alignment horizontal="left"/>
    </xf>
    <xf numFmtId="0" fontId="0" fillId="0" borderId="0" xfId="0" applyAlignment="1">
      <alignment horizontal="left"/>
    </xf>
    <xf numFmtId="191" fontId="0" fillId="0" borderId="0" xfId="0" applyNumberFormat="1" applyBorder="1" applyAlignment="1">
      <alignment horizontal="center"/>
    </xf>
    <xf numFmtId="196" fontId="1" fillId="34" borderId="13" xfId="0" applyNumberFormat="1" applyFont="1" applyFill="1" applyBorder="1" applyAlignment="1">
      <alignment horizontal="center"/>
    </xf>
    <xf numFmtId="199" fontId="1" fillId="33" borderId="13" xfId="0" applyNumberFormat="1" applyFont="1" applyFill="1" applyBorder="1" applyAlignment="1">
      <alignment horizontal="center"/>
    </xf>
    <xf numFmtId="197" fontId="1" fillId="33" borderId="13" xfId="0" applyNumberFormat="1" applyFont="1" applyFill="1" applyBorder="1" applyAlignment="1">
      <alignment horizontal="center"/>
    </xf>
    <xf numFmtId="199" fontId="0" fillId="0" borderId="0" xfId="0" applyNumberFormat="1" applyBorder="1" applyAlignment="1">
      <alignment horizontal="center"/>
    </xf>
    <xf numFmtId="10" fontId="0" fillId="0" borderId="0" xfId="0" applyNumberFormat="1" applyBorder="1" applyAlignment="1">
      <alignment horizontal="center"/>
    </xf>
    <xf numFmtId="199" fontId="0" fillId="0" borderId="14" xfId="0" applyNumberFormat="1" applyBorder="1" applyAlignment="1">
      <alignment horizontal="center"/>
    </xf>
    <xf numFmtId="205" fontId="0" fillId="0" borderId="0" xfId="0" applyNumberFormat="1" applyBorder="1" applyAlignment="1">
      <alignment horizontal="center"/>
    </xf>
    <xf numFmtId="0" fontId="1" fillId="0" borderId="0" xfId="0" applyFont="1" applyBorder="1" applyAlignment="1">
      <alignment horizontal="right"/>
    </xf>
    <xf numFmtId="199" fontId="1" fillId="34" borderId="15" xfId="0" applyNumberFormat="1" applyFont="1" applyFill="1" applyBorder="1" applyAlignment="1">
      <alignment horizontal="center"/>
    </xf>
    <xf numFmtId="2" fontId="1" fillId="34" borderId="16" xfId="0" applyNumberFormat="1" applyFont="1" applyFill="1" applyBorder="1" applyAlignment="1">
      <alignment horizontal="center"/>
    </xf>
    <xf numFmtId="200" fontId="0" fillId="0" borderId="14" xfId="0" applyNumberFormat="1" applyBorder="1" applyAlignment="1">
      <alignment/>
    </xf>
    <xf numFmtId="0" fontId="0" fillId="0" borderId="12" xfId="0" applyFill="1" applyBorder="1" applyAlignment="1">
      <alignment/>
    </xf>
    <xf numFmtId="0" fontId="0" fillId="0" borderId="0" xfId="0" applyFill="1" applyBorder="1" applyAlignment="1">
      <alignment horizontal="left"/>
    </xf>
    <xf numFmtId="0" fontId="0" fillId="0" borderId="0" xfId="0" applyFill="1" applyBorder="1" applyAlignment="1">
      <alignment/>
    </xf>
    <xf numFmtId="0" fontId="0" fillId="0" borderId="0" xfId="0" applyFill="1" applyBorder="1" applyAlignment="1">
      <alignment horizontal="center"/>
    </xf>
    <xf numFmtId="196" fontId="0" fillId="0" borderId="0" xfId="0" applyNumberFormat="1" applyBorder="1" applyAlignment="1">
      <alignment horizontal="center"/>
    </xf>
    <xf numFmtId="0" fontId="0" fillId="0" borderId="14" xfId="0" applyBorder="1" applyAlignment="1">
      <alignment horizontal="right"/>
    </xf>
    <xf numFmtId="0" fontId="1" fillId="34" borderId="15" xfId="0" applyFont="1" applyFill="1" applyBorder="1" applyAlignment="1">
      <alignment horizontal="center"/>
    </xf>
    <xf numFmtId="0" fontId="1" fillId="34" borderId="16" xfId="0" applyFont="1" applyFill="1" applyBorder="1" applyAlignment="1">
      <alignment horizontal="center"/>
    </xf>
    <xf numFmtId="2" fontId="0" fillId="0" borderId="0" xfId="0" applyNumberFormat="1" applyBorder="1" applyAlignment="1">
      <alignment/>
    </xf>
    <xf numFmtId="199" fontId="1" fillId="34" borderId="16" xfId="0" applyNumberFormat="1" applyFont="1" applyFill="1" applyBorder="1" applyAlignment="1">
      <alignment horizontal="center"/>
    </xf>
    <xf numFmtId="196" fontId="0" fillId="0" borderId="0" xfId="0" applyNumberFormat="1" applyAlignment="1">
      <alignment horizontal="left"/>
    </xf>
    <xf numFmtId="196" fontId="0" fillId="0" borderId="17" xfId="0" applyNumberFormat="1" applyBorder="1" applyAlignment="1">
      <alignment horizontal="left"/>
    </xf>
    <xf numFmtId="196" fontId="0" fillId="0" borderId="18" xfId="0" applyNumberFormat="1" applyBorder="1" applyAlignment="1">
      <alignment horizontal="left"/>
    </xf>
    <xf numFmtId="196" fontId="0" fillId="0" borderId="19" xfId="0" applyNumberFormat="1" applyBorder="1" applyAlignment="1">
      <alignment horizontal="left"/>
    </xf>
    <xf numFmtId="196" fontId="0" fillId="0" borderId="0" xfId="0" applyNumberFormat="1" applyBorder="1" applyAlignment="1">
      <alignment horizontal="left"/>
    </xf>
    <xf numFmtId="196" fontId="0" fillId="0" borderId="0" xfId="0" applyNumberFormat="1" applyAlignment="1">
      <alignment horizontal="right"/>
    </xf>
    <xf numFmtId="2" fontId="0" fillId="0" borderId="0" xfId="0" applyNumberFormat="1" applyAlignment="1">
      <alignment horizontal="center"/>
    </xf>
    <xf numFmtId="0" fontId="4" fillId="0" borderId="0" xfId="0" applyFont="1" applyAlignment="1">
      <alignment vertical="top"/>
    </xf>
    <xf numFmtId="196" fontId="0" fillId="0" borderId="0" xfId="0" applyNumberFormat="1" applyAlignment="1">
      <alignment horizontal="center" vertical="center" wrapText="1"/>
    </xf>
    <xf numFmtId="0" fontId="0" fillId="0" borderId="0" xfId="0" applyFont="1" applyAlignment="1">
      <alignment horizontal="center" vertical="center" wrapText="1"/>
    </xf>
    <xf numFmtId="196" fontId="0" fillId="0" borderId="0" xfId="0" applyNumberFormat="1" applyAlignment="1">
      <alignment horizontal="center"/>
    </xf>
    <xf numFmtId="196" fontId="0" fillId="0" borderId="20" xfId="0" applyNumberFormat="1" applyBorder="1" applyAlignment="1">
      <alignment horizontal="right"/>
    </xf>
    <xf numFmtId="2" fontId="0" fillId="0" borderId="20" xfId="0" applyNumberFormat="1" applyBorder="1" applyAlignment="1">
      <alignment horizontal="center"/>
    </xf>
    <xf numFmtId="197" fontId="0" fillId="0" borderId="0" xfId="0" applyNumberFormat="1" applyAlignment="1">
      <alignment horizontal="center"/>
    </xf>
    <xf numFmtId="199" fontId="0" fillId="0" borderId="0" xfId="0" applyNumberFormat="1" applyAlignment="1">
      <alignment horizontal="center"/>
    </xf>
    <xf numFmtId="0" fontId="1" fillId="0" borderId="0" xfId="0" applyFont="1" applyAlignment="1">
      <alignment horizontal="left" vertical="top"/>
    </xf>
    <xf numFmtId="0" fontId="0" fillId="0" borderId="0" xfId="0" applyAlignment="1">
      <alignment horizontal="center" vertical="center" wrapText="1"/>
    </xf>
    <xf numFmtId="2" fontId="0" fillId="0" borderId="0" xfId="0" applyNumberFormat="1" applyAlignment="1">
      <alignment/>
    </xf>
    <xf numFmtId="0" fontId="0" fillId="0" borderId="0" xfId="0" applyAlignment="1" quotePrefix="1">
      <alignment/>
    </xf>
    <xf numFmtId="205" fontId="0" fillId="0" borderId="0" xfId="0" applyNumberFormat="1" applyAlignment="1">
      <alignment horizontal="center"/>
    </xf>
    <xf numFmtId="211" fontId="0" fillId="0" borderId="0" xfId="0" applyNumberFormat="1" applyAlignment="1">
      <alignment horizontal="right"/>
    </xf>
    <xf numFmtId="11" fontId="0" fillId="0" borderId="0" xfId="0" applyNumberFormat="1" applyAlignment="1">
      <alignment horizontal="center"/>
    </xf>
    <xf numFmtId="0" fontId="1" fillId="0" borderId="0" xfId="0" applyFont="1" applyAlignment="1">
      <alignment horizontal="left"/>
    </xf>
    <xf numFmtId="199" fontId="0" fillId="0" borderId="0" xfId="0" applyNumberFormat="1" applyAlignment="1">
      <alignment horizontal="right"/>
    </xf>
    <xf numFmtId="1" fontId="0" fillId="0" borderId="0" xfId="0" applyNumberFormat="1" applyAlignment="1">
      <alignment horizontal="center"/>
    </xf>
    <xf numFmtId="205" fontId="0" fillId="0" borderId="0" xfId="0" applyNumberFormat="1" applyAlignment="1">
      <alignment horizontal="left"/>
    </xf>
    <xf numFmtId="0" fontId="0" fillId="35" borderId="21" xfId="0" applyFill="1" applyBorder="1" applyAlignment="1">
      <alignment/>
    </xf>
    <xf numFmtId="0" fontId="0" fillId="35" borderId="22" xfId="0" applyFill="1" applyBorder="1" applyAlignment="1">
      <alignment/>
    </xf>
    <xf numFmtId="0" fontId="0" fillId="35" borderId="22" xfId="0" applyFill="1" applyBorder="1" applyAlignment="1">
      <alignment horizontal="center"/>
    </xf>
    <xf numFmtId="0" fontId="0" fillId="35" borderId="22" xfId="0" applyFill="1" applyBorder="1" applyAlignment="1">
      <alignment horizontal="right"/>
    </xf>
    <xf numFmtId="0" fontId="0" fillId="35" borderId="23" xfId="0" applyFill="1" applyBorder="1" applyAlignment="1">
      <alignment/>
    </xf>
    <xf numFmtId="0" fontId="0" fillId="35" borderId="24" xfId="0" applyFill="1" applyBorder="1" applyAlignment="1">
      <alignment/>
    </xf>
    <xf numFmtId="0" fontId="0" fillId="35" borderId="25" xfId="0" applyFill="1" applyBorder="1" applyAlignment="1">
      <alignment/>
    </xf>
    <xf numFmtId="199" fontId="0" fillId="35" borderId="25" xfId="0" applyNumberFormat="1" applyFill="1" applyBorder="1" applyAlignment="1">
      <alignment horizontal="center"/>
    </xf>
    <xf numFmtId="200" fontId="0" fillId="35" borderId="25" xfId="0" applyNumberFormat="1" applyFill="1" applyBorder="1" applyAlignment="1">
      <alignment/>
    </xf>
    <xf numFmtId="0" fontId="0" fillId="35" borderId="25" xfId="0" applyFill="1" applyBorder="1" applyAlignment="1">
      <alignment horizontal="right"/>
    </xf>
    <xf numFmtId="0" fontId="3" fillId="35" borderId="25" xfId="0" applyFont="1" applyFill="1" applyBorder="1" applyAlignment="1">
      <alignment horizontal="left" vertical="center"/>
    </xf>
    <xf numFmtId="196" fontId="0" fillId="35" borderId="24" xfId="0" applyNumberFormat="1" applyFill="1" applyBorder="1" applyAlignment="1">
      <alignment horizontal="left"/>
    </xf>
    <xf numFmtId="196" fontId="0" fillId="35" borderId="25" xfId="0" applyNumberFormat="1" applyFill="1" applyBorder="1" applyAlignment="1">
      <alignment horizontal="left"/>
    </xf>
    <xf numFmtId="196" fontId="0" fillId="35" borderId="26" xfId="0" applyNumberFormat="1" applyFill="1" applyBorder="1" applyAlignment="1">
      <alignment horizontal="left"/>
    </xf>
    <xf numFmtId="196" fontId="0" fillId="35" borderId="20" xfId="0" applyNumberFormat="1" applyFill="1" applyBorder="1" applyAlignment="1">
      <alignment horizontal="left"/>
    </xf>
    <xf numFmtId="196" fontId="0" fillId="35" borderId="27" xfId="0" applyNumberFormat="1" applyFill="1" applyBorder="1" applyAlignment="1">
      <alignment horizontal="left"/>
    </xf>
    <xf numFmtId="196" fontId="1" fillId="0" borderId="0" xfId="0" applyNumberFormat="1" applyFont="1" applyAlignment="1">
      <alignment horizontal="right"/>
    </xf>
    <xf numFmtId="0" fontId="0" fillId="0" borderId="0" xfId="0" applyAlignment="1" applyProtection="1">
      <alignment/>
      <protection locked="0"/>
    </xf>
    <xf numFmtId="0" fontId="4" fillId="0" borderId="0" xfId="0" applyFont="1" applyAlignment="1" applyProtection="1">
      <alignment/>
      <protection locked="0"/>
    </xf>
    <xf numFmtId="0" fontId="0" fillId="35" borderId="10" xfId="0" applyFill="1" applyBorder="1" applyAlignment="1">
      <alignment horizontal="center"/>
    </xf>
    <xf numFmtId="0" fontId="0" fillId="35" borderId="10" xfId="0" applyFill="1" applyBorder="1" applyAlignment="1">
      <alignment/>
    </xf>
    <xf numFmtId="0" fontId="2" fillId="35" borderId="28" xfId="0" applyFont="1" applyFill="1" applyBorder="1" applyAlignment="1">
      <alignment/>
    </xf>
    <xf numFmtId="0" fontId="0" fillId="35" borderId="29" xfId="0" applyFill="1" applyBorder="1" applyAlignment="1">
      <alignment/>
    </xf>
    <xf numFmtId="0" fontId="0" fillId="36" borderId="13" xfId="0" applyNumberFormat="1" applyFont="1" applyFill="1" applyBorder="1" applyAlignment="1">
      <alignment horizontal="left"/>
    </xf>
    <xf numFmtId="0" fontId="1" fillId="36" borderId="13" xfId="0" applyNumberFormat="1" applyFont="1" applyFill="1" applyBorder="1" applyAlignment="1">
      <alignment horizontal="left"/>
    </xf>
    <xf numFmtId="199" fontId="1" fillId="36" borderId="13" xfId="0" applyNumberFormat="1" applyFont="1" applyFill="1" applyBorder="1" applyAlignment="1">
      <alignment horizontal="center"/>
    </xf>
    <xf numFmtId="0" fontId="1" fillId="36" borderId="13" xfId="0" applyNumberFormat="1" applyFont="1" applyFill="1" applyBorder="1" applyAlignment="1">
      <alignment horizontal="center"/>
    </xf>
    <xf numFmtId="0" fontId="0" fillId="37" borderId="0" xfId="0" applyFill="1" applyAlignment="1">
      <alignment horizontal="center"/>
    </xf>
    <xf numFmtId="0" fontId="0" fillId="37" borderId="0" xfId="0" applyNumberFormat="1" applyFill="1" applyAlignment="1">
      <alignment horizontal="center"/>
    </xf>
    <xf numFmtId="197" fontId="0" fillId="37" borderId="0" xfId="0" applyNumberFormat="1" applyFill="1" applyAlignment="1">
      <alignment horizontal="center"/>
    </xf>
    <xf numFmtId="0" fontId="0" fillId="37" borderId="0" xfId="0" applyNumberFormat="1" applyFill="1" applyAlignment="1">
      <alignment horizontal="center" vertical="center"/>
    </xf>
    <xf numFmtId="0" fontId="4" fillId="37" borderId="30" xfId="0" applyFont="1" applyFill="1" applyBorder="1" applyAlignment="1">
      <alignment/>
    </xf>
    <xf numFmtId="0" fontId="0" fillId="37" borderId="31" xfId="0" applyFill="1" applyBorder="1" applyAlignment="1">
      <alignment/>
    </xf>
    <xf numFmtId="0" fontId="0" fillId="37" borderId="32" xfId="0" applyFill="1" applyBorder="1" applyAlignment="1">
      <alignment/>
    </xf>
    <xf numFmtId="0" fontId="3" fillId="0" borderId="33" xfId="0" applyFont="1" applyBorder="1" applyAlignment="1">
      <alignment horizontal="left" vertical="center"/>
    </xf>
    <xf numFmtId="0" fontId="3" fillId="0" borderId="0" xfId="0" applyFont="1" applyBorder="1" applyAlignment="1">
      <alignment horizontal="right" vertical="center"/>
    </xf>
    <xf numFmtId="199" fontId="3" fillId="34" borderId="15" xfId="0" applyNumberFormat="1" applyFont="1" applyFill="1" applyBorder="1" applyAlignment="1">
      <alignment horizontal="center" vertical="center"/>
    </xf>
    <xf numFmtId="199" fontId="3" fillId="34" borderId="34" xfId="0" applyNumberFormat="1" applyFont="1" applyFill="1" applyBorder="1" applyAlignment="1">
      <alignment horizontal="center" vertical="center"/>
    </xf>
    <xf numFmtId="2" fontId="3" fillId="34" borderId="15" xfId="0" applyNumberFormat="1" applyFont="1" applyFill="1" applyBorder="1" applyAlignment="1">
      <alignment horizontal="center" vertical="center"/>
    </xf>
    <xf numFmtId="2" fontId="3" fillId="34" borderId="34" xfId="0" applyNumberFormat="1" applyFont="1" applyFill="1" applyBorder="1" applyAlignment="1">
      <alignment horizontal="center" vertical="center"/>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Milliers [0]_2009" xfId="54"/>
    <cellStyle name="Milliers [0]_BlendWiz" xfId="55"/>
    <cellStyle name="Milliers [0]_Cidre" xfId="56"/>
    <cellStyle name="Milliers [0]_Classeur10" xfId="57"/>
    <cellStyle name="Milliers [0]_Classeur3 Graphique 1" xfId="58"/>
    <cellStyle name="Milliers [0]_Hydrometre-calibration" xfId="59"/>
    <cellStyle name="Milliers [0]_Hydrometre-calibrationA" xfId="60"/>
    <cellStyle name="Milliers [0]_Modl-Fermentation" xfId="61"/>
    <cellStyle name="Milliers [0]_Pressage11" xfId="62"/>
    <cellStyle name="Milliers_2009" xfId="63"/>
    <cellStyle name="Milliers_BlendWiz" xfId="64"/>
    <cellStyle name="Milliers_Cidre" xfId="65"/>
    <cellStyle name="Milliers_Classeur10" xfId="66"/>
    <cellStyle name="Milliers_Classeur3 Graphique 1" xfId="67"/>
    <cellStyle name="Milliers_Hydrometre-calibration" xfId="68"/>
    <cellStyle name="Milliers_Hydrometre-calibrationA" xfId="69"/>
    <cellStyle name="Milliers_Modl-Fermentation" xfId="70"/>
    <cellStyle name="Milliers_Pressage11" xfId="71"/>
    <cellStyle name="Monétaire [0]_2009" xfId="72"/>
    <cellStyle name="Monétaire [0]_BlendWiz" xfId="73"/>
    <cellStyle name="Monétaire [0]_Cidre" xfId="74"/>
    <cellStyle name="Monétaire [0]_Classeur10" xfId="75"/>
    <cellStyle name="Monétaire [0]_Classeur3 Graphique 1" xfId="76"/>
    <cellStyle name="Monétaire [0]_Hydrometre-calibration" xfId="77"/>
    <cellStyle name="Monétaire [0]_Hydrometre-calibrationA" xfId="78"/>
    <cellStyle name="Monétaire [0]_Modl-Fermentation" xfId="79"/>
    <cellStyle name="Monétaire [0]_Pressage11" xfId="80"/>
    <cellStyle name="Monétaire_2009" xfId="81"/>
    <cellStyle name="Monétaire_BlendWiz" xfId="82"/>
    <cellStyle name="Monétaire_Cidre" xfId="83"/>
    <cellStyle name="Monétaire_Classeur10" xfId="84"/>
    <cellStyle name="Monétaire_Classeur3 Graphique 1" xfId="85"/>
    <cellStyle name="Monétaire_Hydrometre-calibration" xfId="86"/>
    <cellStyle name="Monétaire_Hydrometre-calibrationA" xfId="87"/>
    <cellStyle name="Monétaire_Modl-Fermentation" xfId="88"/>
    <cellStyle name="Monétaire_Pressage11" xfId="89"/>
    <cellStyle name="Neutral" xfId="90"/>
    <cellStyle name="Note" xfId="91"/>
    <cellStyle name="Output" xfId="92"/>
    <cellStyle name="Percent" xfId="93"/>
    <cellStyle name="Title" xfId="94"/>
    <cellStyle name="Total" xfId="95"/>
    <cellStyle name="Warning Text" xfId="96"/>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1FFA5"/>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DD0B1"/>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04"/>
  <sheetViews>
    <sheetView tabSelected="1" workbookViewId="0" topLeftCell="A57">
      <selection activeCell="F95" sqref="F95"/>
    </sheetView>
  </sheetViews>
  <sheetFormatPr defaultColWidth="11.421875" defaultRowHeight="12.75"/>
  <cols>
    <col min="1" max="1" width="1.421875" style="0" customWidth="1"/>
    <col min="3" max="3" width="11.421875" style="2" customWidth="1"/>
    <col min="6" max="6" width="11.421875" style="2" customWidth="1"/>
    <col min="8" max="8" width="11.421875" style="1" customWidth="1"/>
    <col min="9" max="9" width="11.421875" style="2" bestFit="1" customWidth="1"/>
    <col min="14" max="14" width="1.421875" style="0" customWidth="1"/>
    <col min="16" max="16" width="11.421875" style="2" customWidth="1"/>
  </cols>
  <sheetData>
    <row r="1" spans="1:14" ht="8.25" customHeight="1" thickBot="1">
      <c r="A1" s="72"/>
      <c r="B1" s="73"/>
      <c r="C1" s="74"/>
      <c r="D1" s="73"/>
      <c r="E1" s="73"/>
      <c r="F1" s="74"/>
      <c r="G1" s="73"/>
      <c r="H1" s="75"/>
      <c r="I1" s="74"/>
      <c r="J1" s="73"/>
      <c r="K1" s="73"/>
      <c r="L1" s="73"/>
      <c r="M1" s="73"/>
      <c r="N1" s="76"/>
    </row>
    <row r="2" spans="1:15" ht="16.5">
      <c r="A2" s="77"/>
      <c r="B2" s="93" t="s">
        <v>0</v>
      </c>
      <c r="C2" s="91"/>
      <c r="D2" s="92"/>
      <c r="E2" s="94"/>
      <c r="F2" s="3"/>
      <c r="G2" s="4"/>
      <c r="H2" s="5"/>
      <c r="I2" s="3"/>
      <c r="J2" s="4"/>
      <c r="K2" s="4"/>
      <c r="L2" s="6"/>
      <c r="M2" s="7"/>
      <c r="N2" s="78"/>
      <c r="O2" s="8"/>
    </row>
    <row r="3" spans="1:15" ht="12">
      <c r="A3" s="77"/>
      <c r="B3" s="9"/>
      <c r="C3" s="95" t="s">
        <v>160</v>
      </c>
      <c r="D3" s="96"/>
      <c r="E3" s="96"/>
      <c r="F3" s="13"/>
      <c r="G3" s="10" t="s">
        <v>1</v>
      </c>
      <c r="H3" s="10"/>
      <c r="I3" s="10"/>
      <c r="J3" s="10"/>
      <c r="K3" s="10"/>
      <c r="L3" s="10"/>
      <c r="M3" s="11"/>
      <c r="N3" s="78"/>
      <c r="O3" s="8"/>
    </row>
    <row r="4" spans="1:15" ht="12">
      <c r="A4" s="77"/>
      <c r="B4" s="9"/>
      <c r="C4" s="12" t="s">
        <v>161</v>
      </c>
      <c r="D4" s="8"/>
      <c r="E4" s="8"/>
      <c r="F4" s="13"/>
      <c r="G4" s="8"/>
      <c r="H4" s="14"/>
      <c r="I4" s="13"/>
      <c r="J4" s="8"/>
      <c r="K4" s="8"/>
      <c r="L4" s="8"/>
      <c r="M4" s="11"/>
      <c r="N4" s="78"/>
      <c r="O4" s="8"/>
    </row>
    <row r="5" spans="1:15" ht="12">
      <c r="A5" s="77"/>
      <c r="B5" s="15"/>
      <c r="C5" s="13"/>
      <c r="D5" s="8"/>
      <c r="E5" s="14"/>
      <c r="F5" s="13"/>
      <c r="G5" s="8"/>
      <c r="H5" s="14"/>
      <c r="I5" s="13"/>
      <c r="J5" s="8"/>
      <c r="K5" s="8"/>
      <c r="L5" s="8"/>
      <c r="M5" s="11"/>
      <c r="N5" s="78"/>
      <c r="O5" s="8"/>
    </row>
    <row r="6" spans="1:25" ht="12.75">
      <c r="A6" s="77"/>
      <c r="B6" s="16" t="s">
        <v>157</v>
      </c>
      <c r="C6" s="13"/>
      <c r="D6" s="8"/>
      <c r="E6" s="8"/>
      <c r="F6" s="13"/>
      <c r="G6" s="8"/>
      <c r="H6" s="14"/>
      <c r="I6" s="13"/>
      <c r="J6" s="8"/>
      <c r="K6" s="8"/>
      <c r="L6" s="21"/>
      <c r="M6" s="11"/>
      <c r="N6" s="78"/>
      <c r="O6" s="17"/>
      <c r="P6" s="103" t="s">
        <v>159</v>
      </c>
      <c r="Q6" s="104"/>
      <c r="R6" s="104"/>
      <c r="S6" s="104"/>
      <c r="T6" s="104"/>
      <c r="U6" s="104"/>
      <c r="V6" s="104"/>
      <c r="W6" s="104"/>
      <c r="X6" s="104"/>
      <c r="Y6" s="105"/>
    </row>
    <row r="7" spans="1:15" ht="12">
      <c r="A7" s="77"/>
      <c r="B7" s="9"/>
      <c r="C7" s="13"/>
      <c r="D7" s="8"/>
      <c r="E7" s="14" t="s">
        <v>2</v>
      </c>
      <c r="F7" s="97">
        <v>1.046</v>
      </c>
      <c r="G7" s="8"/>
      <c r="H7" s="14"/>
      <c r="I7" s="18"/>
      <c r="J7" s="8"/>
      <c r="K7" s="18" t="s">
        <v>3</v>
      </c>
      <c r="L7" s="19">
        <f>$P$72*(F7-1)+$Q$72*(F7-1)^2+$R$72*(F7-1)^3</f>
        <v>11.43398659600001</v>
      </c>
      <c r="M7" s="11" t="s">
        <v>4</v>
      </c>
      <c r="N7" s="78"/>
      <c r="O7" s="13"/>
    </row>
    <row r="8" spans="1:15" ht="12">
      <c r="A8" s="77"/>
      <c r="B8" s="9"/>
      <c r="C8" s="13"/>
      <c r="D8" s="8"/>
      <c r="E8" s="14" t="s">
        <v>5</v>
      </c>
      <c r="F8" s="98">
        <v>6</v>
      </c>
      <c r="G8" s="8" t="s">
        <v>6</v>
      </c>
      <c r="H8" s="14"/>
      <c r="I8" s="18"/>
      <c r="J8" s="8"/>
      <c r="K8" s="14" t="s">
        <v>7</v>
      </c>
      <c r="L8" s="20">
        <f>F7*$P$69</f>
        <v>1044.1237898000002</v>
      </c>
      <c r="M8" s="11" t="s">
        <v>6</v>
      </c>
      <c r="N8" s="78"/>
      <c r="O8" s="13"/>
    </row>
    <row r="9" spans="1:15" ht="12">
      <c r="A9" s="77"/>
      <c r="B9" s="9"/>
      <c r="C9" s="13"/>
      <c r="D9" s="8"/>
      <c r="E9" s="14" t="s">
        <v>8</v>
      </c>
      <c r="F9" s="98">
        <v>100</v>
      </c>
      <c r="G9" s="8" t="s">
        <v>9</v>
      </c>
      <c r="H9" s="14"/>
      <c r="I9" s="13"/>
      <c r="J9" s="8"/>
      <c r="K9" s="14" t="s">
        <v>10</v>
      </c>
      <c r="L9" s="19">
        <f>F9*L8/1000</f>
        <v>104.41237898000003</v>
      </c>
      <c r="M9" s="11" t="s">
        <v>11</v>
      </c>
      <c r="N9" s="78"/>
      <c r="O9" s="8"/>
    </row>
    <row r="10" spans="1:15" ht="12.75">
      <c r="A10" s="77"/>
      <c r="B10" s="16" t="s">
        <v>158</v>
      </c>
      <c r="C10" s="8"/>
      <c r="D10" s="8"/>
      <c r="E10" s="8"/>
      <c r="F10" s="13"/>
      <c r="G10" s="8"/>
      <c r="H10" s="14"/>
      <c r="I10" s="13"/>
      <c r="J10" s="8"/>
      <c r="K10" s="18"/>
      <c r="L10" s="21"/>
      <c r="M10" s="11"/>
      <c r="N10" s="78"/>
      <c r="O10" s="13"/>
    </row>
    <row r="11" spans="1:15" ht="12">
      <c r="A11" s="77"/>
      <c r="B11" s="22" t="s">
        <v>12</v>
      </c>
      <c r="C11" s="13"/>
      <c r="D11" s="8"/>
      <c r="E11" s="14"/>
      <c r="F11" s="13"/>
      <c r="G11" s="8"/>
      <c r="H11" s="14"/>
      <c r="I11" s="13"/>
      <c r="J11" s="8"/>
      <c r="K11" s="8"/>
      <c r="L11" s="8"/>
      <c r="M11" s="11"/>
      <c r="N11" s="78"/>
      <c r="O11" s="8"/>
    </row>
    <row r="12" spans="1:16" ht="12">
      <c r="A12" s="77"/>
      <c r="B12" s="22" t="s">
        <v>149</v>
      </c>
      <c r="C12" s="13"/>
      <c r="D12" s="8"/>
      <c r="E12" s="14"/>
      <c r="F12" s="13"/>
      <c r="G12" s="8"/>
      <c r="H12" s="14"/>
      <c r="I12" s="13"/>
      <c r="J12" s="8"/>
      <c r="K12" s="8"/>
      <c r="L12" s="8"/>
      <c r="M12" s="11"/>
      <c r="N12" s="78"/>
      <c r="O12" s="8"/>
      <c r="P12" s="23" t="s">
        <v>13</v>
      </c>
    </row>
    <row r="13" spans="1:16" ht="12">
      <c r="A13" s="77"/>
      <c r="B13" s="22" t="s">
        <v>14</v>
      </c>
      <c r="C13" s="13"/>
      <c r="D13" s="8"/>
      <c r="E13" s="14"/>
      <c r="F13" s="13"/>
      <c r="G13" s="8"/>
      <c r="H13" s="14"/>
      <c r="I13" s="13"/>
      <c r="J13" s="8"/>
      <c r="K13" s="8"/>
      <c r="L13" s="8"/>
      <c r="M13" s="11"/>
      <c r="N13" s="78"/>
      <c r="O13" s="8"/>
      <c r="P13" s="23" t="s">
        <v>15</v>
      </c>
    </row>
    <row r="14" spans="1:17" ht="12">
      <c r="A14" s="77"/>
      <c r="B14" s="9"/>
      <c r="C14" s="13"/>
      <c r="D14" s="8"/>
      <c r="E14" s="8"/>
      <c r="F14" s="13"/>
      <c r="G14" s="8"/>
      <c r="H14" s="14"/>
      <c r="I14" s="13"/>
      <c r="J14" s="8"/>
      <c r="K14" s="14" t="s">
        <v>16</v>
      </c>
      <c r="L14" s="20">
        <f>$P$14*(F7-1)</f>
        <v>97.98000000000009</v>
      </c>
      <c r="M14" s="11" t="s">
        <v>6</v>
      </c>
      <c r="N14" s="78"/>
      <c r="O14" s="8"/>
      <c r="P14" s="99">
        <v>2130</v>
      </c>
      <c r="Q14" t="s">
        <v>17</v>
      </c>
    </row>
    <row r="15" spans="1:15" ht="12">
      <c r="A15" s="77"/>
      <c r="B15" s="9"/>
      <c r="C15" s="13"/>
      <c r="D15" s="8"/>
      <c r="E15" s="8"/>
      <c r="F15" s="13"/>
      <c r="G15" s="8"/>
      <c r="H15" s="14"/>
      <c r="I15" s="13"/>
      <c r="J15" s="8"/>
      <c r="K15" s="14" t="s">
        <v>18</v>
      </c>
      <c r="L15" s="20">
        <f>L7*L8/100</f>
        <v>119.38497417137933</v>
      </c>
      <c r="M15" s="11" t="s">
        <v>6</v>
      </c>
      <c r="N15" s="78"/>
      <c r="O15" s="8"/>
    </row>
    <row r="16" spans="1:16" ht="12">
      <c r="A16" s="77"/>
      <c r="B16" s="22" t="s">
        <v>19</v>
      </c>
      <c r="C16" s="12"/>
      <c r="D16" s="8"/>
      <c r="E16" s="8"/>
      <c r="F16" s="13"/>
      <c r="G16" s="8"/>
      <c r="H16" s="14"/>
      <c r="I16" s="14"/>
      <c r="J16" s="8"/>
      <c r="K16" s="24"/>
      <c r="L16" s="8"/>
      <c r="M16" s="11"/>
      <c r="N16" s="78"/>
      <c r="O16" s="13"/>
      <c r="P16" s="23" t="s">
        <v>20</v>
      </c>
    </row>
    <row r="17" spans="1:16" ht="12">
      <c r="A17" s="77"/>
      <c r="B17" s="9"/>
      <c r="C17" s="13"/>
      <c r="D17" s="8"/>
      <c r="E17" s="14" t="s">
        <v>21</v>
      </c>
      <c r="F17" s="98">
        <v>0</v>
      </c>
      <c r="G17" s="12" t="s">
        <v>22</v>
      </c>
      <c r="H17" s="14"/>
      <c r="I17" s="14"/>
      <c r="J17" s="8"/>
      <c r="K17" s="14" t="s">
        <v>23</v>
      </c>
      <c r="L17" s="20">
        <f>MIN(L15,L14*(1+F17/100))</f>
        <v>97.98000000000009</v>
      </c>
      <c r="M17" s="11" t="s">
        <v>6</v>
      </c>
      <c r="N17" s="78"/>
      <c r="O17" s="13"/>
      <c r="P17" s="23" t="s">
        <v>24</v>
      </c>
    </row>
    <row r="18" spans="1:17" ht="12">
      <c r="A18" s="77"/>
      <c r="B18" s="9"/>
      <c r="C18" s="13"/>
      <c r="D18" s="8"/>
      <c r="E18" s="8"/>
      <c r="F18" s="13"/>
      <c r="G18" s="8"/>
      <c r="H18" s="24"/>
      <c r="I18" s="13"/>
      <c r="J18" s="8"/>
      <c r="K18" s="14" t="s">
        <v>25</v>
      </c>
      <c r="L18" s="27">
        <f>$P$18*L17/100</f>
        <v>0.05976780000000005</v>
      </c>
      <c r="M18" s="11"/>
      <c r="N18" s="78"/>
      <c r="O18" s="8"/>
      <c r="P18" s="99">
        <v>0.061</v>
      </c>
      <c r="Q18" t="s">
        <v>26</v>
      </c>
    </row>
    <row r="19" spans="1:15" ht="12.75">
      <c r="A19" s="77"/>
      <c r="B19" s="16" t="s">
        <v>152</v>
      </c>
      <c r="C19" s="13"/>
      <c r="D19" s="8"/>
      <c r="E19" s="8"/>
      <c r="F19" s="13"/>
      <c r="G19" s="8"/>
      <c r="H19" s="14"/>
      <c r="I19" s="13"/>
      <c r="J19" s="8"/>
      <c r="K19" s="8"/>
      <c r="L19" s="8"/>
      <c r="M19" s="11"/>
      <c r="N19" s="78"/>
      <c r="O19" s="8"/>
    </row>
    <row r="20" spans="1:15" ht="12">
      <c r="A20" s="77"/>
      <c r="B20" s="22" t="s">
        <v>27</v>
      </c>
      <c r="C20" s="13"/>
      <c r="D20" s="8"/>
      <c r="E20" s="14"/>
      <c r="F20" s="13"/>
      <c r="G20" s="8"/>
      <c r="H20" s="14"/>
      <c r="I20" s="13"/>
      <c r="J20" s="8"/>
      <c r="K20" s="8"/>
      <c r="L20" s="8"/>
      <c r="M20" s="11"/>
      <c r="N20" s="78"/>
      <c r="O20" s="8"/>
    </row>
    <row r="21" spans="1:15" ht="12">
      <c r="A21" s="77"/>
      <c r="B21" s="22" t="s">
        <v>28</v>
      </c>
      <c r="C21" s="13"/>
      <c r="D21" s="8"/>
      <c r="E21" s="14"/>
      <c r="F21" s="13"/>
      <c r="G21" s="8"/>
      <c r="H21" s="14"/>
      <c r="I21" s="13"/>
      <c r="J21" s="8"/>
      <c r="K21" s="8"/>
      <c r="L21" s="8"/>
      <c r="M21" s="11"/>
      <c r="N21" s="78"/>
      <c r="O21" s="8"/>
    </row>
    <row r="22" spans="1:15" ht="12">
      <c r="A22" s="77"/>
      <c r="B22" s="9"/>
      <c r="C22" s="13"/>
      <c r="D22" s="8"/>
      <c r="E22" s="14" t="s">
        <v>29</v>
      </c>
      <c r="F22" s="98">
        <v>0</v>
      </c>
      <c r="G22" s="8" t="s">
        <v>6</v>
      </c>
      <c r="H22" s="14"/>
      <c r="I22" s="13"/>
      <c r="J22" s="8"/>
      <c r="K22" s="14" t="s">
        <v>30</v>
      </c>
      <c r="L22" s="25">
        <f>F22*F9/1000</f>
        <v>0</v>
      </c>
      <c r="M22" s="11" t="s">
        <v>31</v>
      </c>
      <c r="N22" s="78"/>
      <c r="O22" s="8"/>
    </row>
    <row r="23" spans="1:15" ht="12">
      <c r="A23" s="77"/>
      <c r="B23" s="9"/>
      <c r="C23" s="13"/>
      <c r="D23" s="8"/>
      <c r="E23" s="14" t="s">
        <v>32</v>
      </c>
      <c r="F23" s="98">
        <v>0</v>
      </c>
      <c r="G23" s="8" t="s">
        <v>33</v>
      </c>
      <c r="H23" s="14"/>
      <c r="I23" s="13"/>
      <c r="J23" s="8"/>
      <c r="K23" s="14" t="s">
        <v>30</v>
      </c>
      <c r="L23" s="25">
        <f>F23*F9/1000</f>
        <v>0</v>
      </c>
      <c r="M23" s="11" t="s">
        <v>34</v>
      </c>
      <c r="N23" s="78"/>
      <c r="O23" s="21"/>
    </row>
    <row r="24" spans="1:15" ht="12">
      <c r="A24" s="77"/>
      <c r="B24" s="22"/>
      <c r="C24" s="13"/>
      <c r="D24" s="8"/>
      <c r="E24" s="14"/>
      <c r="F24" s="13"/>
      <c r="G24" s="8"/>
      <c r="H24" s="14" t="s">
        <v>35</v>
      </c>
      <c r="I24" s="26">
        <f>G86</f>
        <v>1.0460133063448862</v>
      </c>
      <c r="J24" s="8"/>
      <c r="K24" s="14" t="s">
        <v>36</v>
      </c>
      <c r="L24" s="26">
        <f>I24-F7</f>
        <v>1.3306344886165888E-05</v>
      </c>
      <c r="M24" s="11"/>
      <c r="N24" s="78"/>
      <c r="O24" s="8"/>
    </row>
    <row r="25" spans="1:15" ht="12">
      <c r="A25" s="77"/>
      <c r="B25" s="22"/>
      <c r="C25" s="13"/>
      <c r="D25" s="8"/>
      <c r="E25" s="8"/>
      <c r="F25" s="13"/>
      <c r="G25" s="8"/>
      <c r="H25" s="18" t="s">
        <v>37</v>
      </c>
      <c r="I25" s="19">
        <f>G75</f>
        <v>11.43398659600001</v>
      </c>
      <c r="J25" s="8"/>
      <c r="K25" s="14" t="s">
        <v>25</v>
      </c>
      <c r="L25" s="27">
        <f>$P$18*G64/G83/100</f>
        <v>0.05976856031640529</v>
      </c>
      <c r="M25" s="11"/>
      <c r="N25" s="78"/>
      <c r="O25" s="8"/>
    </row>
    <row r="26" spans="1:15" ht="12.75">
      <c r="A26" s="77"/>
      <c r="B26" s="16" t="s">
        <v>38</v>
      </c>
      <c r="C26" s="13"/>
      <c r="D26" s="8"/>
      <c r="E26" s="14"/>
      <c r="F26" s="28"/>
      <c r="G26" s="8"/>
      <c r="H26" s="14"/>
      <c r="I26" s="14"/>
      <c r="J26" s="29"/>
      <c r="K26" s="8"/>
      <c r="L26" s="14"/>
      <c r="M26" s="30"/>
      <c r="N26" s="79"/>
      <c r="O26" s="8"/>
    </row>
    <row r="27" spans="1:15" ht="12.75" thickBot="1">
      <c r="A27" s="77"/>
      <c r="B27" s="22"/>
      <c r="C27" s="12" t="s">
        <v>39</v>
      </c>
      <c r="D27" s="8"/>
      <c r="E27" s="14"/>
      <c r="F27" s="13"/>
      <c r="G27" s="8"/>
      <c r="H27" s="14"/>
      <c r="I27" s="31"/>
      <c r="J27" s="8"/>
      <c r="K27" s="8"/>
      <c r="L27" s="8"/>
      <c r="M27" s="11"/>
      <c r="N27" s="78"/>
      <c r="O27" s="8"/>
    </row>
    <row r="28" spans="1:15" ht="12.75" thickBot="1">
      <c r="A28" s="77"/>
      <c r="B28" s="22"/>
      <c r="C28" s="13"/>
      <c r="D28" s="8"/>
      <c r="E28" s="14" t="s">
        <v>40</v>
      </c>
      <c r="F28" s="98">
        <v>1.7</v>
      </c>
      <c r="G28" s="8" t="s">
        <v>6</v>
      </c>
      <c r="H28" s="14"/>
      <c r="I28" s="13"/>
      <c r="J28" s="8"/>
      <c r="K28" s="32" t="s">
        <v>41</v>
      </c>
      <c r="L28" s="33">
        <f>I86</f>
        <v>1.0006371855506497</v>
      </c>
      <c r="M28" s="11"/>
      <c r="N28" s="78"/>
      <c r="O28" s="8"/>
    </row>
    <row r="29" spans="1:15" ht="12.75" thickBot="1">
      <c r="A29" s="77"/>
      <c r="B29" s="22"/>
      <c r="C29" s="12"/>
      <c r="D29" s="8"/>
      <c r="E29" s="14"/>
      <c r="F29" s="13"/>
      <c r="G29" s="8"/>
      <c r="H29" s="14"/>
      <c r="I29" s="13"/>
      <c r="J29" s="8"/>
      <c r="K29" s="32" t="s">
        <v>42</v>
      </c>
      <c r="L29" s="34">
        <f>I87</f>
        <v>5.855383650580765</v>
      </c>
      <c r="M29" s="11" t="s">
        <v>43</v>
      </c>
      <c r="N29" s="78"/>
      <c r="O29" s="8"/>
    </row>
    <row r="30" spans="1:15" ht="12.75">
      <c r="A30" s="77"/>
      <c r="B30" s="16" t="s">
        <v>44</v>
      </c>
      <c r="C30" s="13"/>
      <c r="D30" s="8"/>
      <c r="E30" s="8"/>
      <c r="F30" s="13"/>
      <c r="G30" s="8"/>
      <c r="H30" s="14"/>
      <c r="I30" s="13"/>
      <c r="J30" s="8"/>
      <c r="K30" s="8"/>
      <c r="L30" s="8"/>
      <c r="M30" s="35"/>
      <c r="N30" s="80"/>
      <c r="O30" s="8"/>
    </row>
    <row r="31" spans="1:15" ht="12.75" customHeight="1">
      <c r="A31" s="77"/>
      <c r="B31" s="36"/>
      <c r="C31" s="37" t="s">
        <v>45</v>
      </c>
      <c r="D31" s="38"/>
      <c r="E31" s="38"/>
      <c r="F31" s="39"/>
      <c r="G31" s="8"/>
      <c r="H31" s="14"/>
      <c r="I31" s="14"/>
      <c r="J31" s="28"/>
      <c r="K31" s="8"/>
      <c r="L31" s="8"/>
      <c r="M31" s="11"/>
      <c r="N31" s="78"/>
      <c r="O31" s="8"/>
    </row>
    <row r="32" spans="1:15" ht="12.75" customHeight="1">
      <c r="A32" s="77"/>
      <c r="B32" s="36"/>
      <c r="C32" s="37"/>
      <c r="D32" s="38"/>
      <c r="E32" s="14" t="s">
        <v>46</v>
      </c>
      <c r="F32" s="98">
        <v>19</v>
      </c>
      <c r="G32" s="8" t="s">
        <v>47</v>
      </c>
      <c r="H32" s="14"/>
      <c r="I32" s="14"/>
      <c r="J32" s="28"/>
      <c r="K32" s="8"/>
      <c r="L32" s="8"/>
      <c r="M32" s="11"/>
      <c r="N32" s="78"/>
      <c r="O32" s="8"/>
    </row>
    <row r="33" spans="1:15" ht="12">
      <c r="A33" s="77"/>
      <c r="B33" s="9"/>
      <c r="C33" s="13"/>
      <c r="D33" s="8"/>
      <c r="E33" s="14" t="s">
        <v>29</v>
      </c>
      <c r="F33" s="98">
        <v>10</v>
      </c>
      <c r="G33" s="8" t="s">
        <v>6</v>
      </c>
      <c r="H33" s="14"/>
      <c r="I33" s="13"/>
      <c r="J33" s="8"/>
      <c r="K33" s="14" t="s">
        <v>30</v>
      </c>
      <c r="L33" s="25">
        <f>F33*F32/1000</f>
        <v>0.19</v>
      </c>
      <c r="M33" s="11" t="s">
        <v>31</v>
      </c>
      <c r="N33" s="78"/>
      <c r="O33" s="8"/>
    </row>
    <row r="34" spans="1:15" ht="12">
      <c r="A34" s="77"/>
      <c r="B34" s="9"/>
      <c r="C34" s="13"/>
      <c r="D34" s="8"/>
      <c r="E34" s="14" t="s">
        <v>32</v>
      </c>
      <c r="F34" s="98">
        <v>7</v>
      </c>
      <c r="G34" s="8" t="s">
        <v>33</v>
      </c>
      <c r="H34" s="14"/>
      <c r="I34" s="13"/>
      <c r="J34" s="8"/>
      <c r="K34" s="14" t="s">
        <v>30</v>
      </c>
      <c r="L34" s="25">
        <f>F34*F32/1000</f>
        <v>0.133</v>
      </c>
      <c r="M34" s="11" t="s">
        <v>34</v>
      </c>
      <c r="N34" s="78"/>
      <c r="O34" s="21"/>
    </row>
    <row r="35" spans="1:15" ht="12">
      <c r="A35" s="77"/>
      <c r="B35" s="22"/>
      <c r="C35" s="13"/>
      <c r="D35" s="8"/>
      <c r="E35" s="14"/>
      <c r="F35" s="13"/>
      <c r="G35" s="8"/>
      <c r="H35" s="14" t="s">
        <v>48</v>
      </c>
      <c r="I35" s="26">
        <f>K86</f>
        <v>1.0044358096662995</v>
      </c>
      <c r="J35" s="8"/>
      <c r="K35" s="14" t="s">
        <v>36</v>
      </c>
      <c r="L35" s="26">
        <f>I35-L28</f>
        <v>0.0037986241156497957</v>
      </c>
      <c r="M35" s="11"/>
      <c r="N35" s="78"/>
      <c r="O35" s="8"/>
    </row>
    <row r="36" spans="1:15" ht="13.5" thickBot="1">
      <c r="A36" s="77"/>
      <c r="B36" s="16" t="s">
        <v>49</v>
      </c>
      <c r="C36" s="13"/>
      <c r="D36" s="8"/>
      <c r="E36" s="14"/>
      <c r="F36" s="8"/>
      <c r="G36" s="8"/>
      <c r="H36" s="14"/>
      <c r="I36" s="14"/>
      <c r="J36" s="40"/>
      <c r="K36" s="8"/>
      <c r="L36" s="8"/>
      <c r="M36" s="41"/>
      <c r="N36" s="81"/>
      <c r="O36" s="8"/>
    </row>
    <row r="37" spans="1:16" ht="12.75" thickBot="1">
      <c r="A37" s="77"/>
      <c r="B37" s="9"/>
      <c r="C37" s="13"/>
      <c r="D37" s="8"/>
      <c r="E37" s="14" t="s">
        <v>40</v>
      </c>
      <c r="F37" s="98">
        <v>3</v>
      </c>
      <c r="G37" s="8" t="s">
        <v>6</v>
      </c>
      <c r="H37" s="14"/>
      <c r="I37" s="13"/>
      <c r="J37" s="107" t="s">
        <v>50</v>
      </c>
      <c r="K37" s="107"/>
      <c r="L37" s="108">
        <f>M86</f>
        <v>1.0004513273963918</v>
      </c>
      <c r="M37" s="11"/>
      <c r="N37" s="78"/>
      <c r="O37" s="8"/>
      <c r="P37" s="23" t="s">
        <v>51</v>
      </c>
    </row>
    <row r="38" spans="1:17" ht="12.75" thickBot="1">
      <c r="A38" s="77"/>
      <c r="B38" s="9"/>
      <c r="C38" s="13"/>
      <c r="D38" s="32" t="s">
        <v>52</v>
      </c>
      <c r="E38" s="42" t="str">
        <f>IF(I39&lt;0.9,"Still",IF(I39&lt;1.3,"Perlant",IF(I39&lt;3,"Petillant",IF(I39&lt;5.5,"Sparkling","Explosive"))))</f>
        <v>Petillant</v>
      </c>
      <c r="F38" s="13"/>
      <c r="G38" s="8"/>
      <c r="H38" s="14" t="s">
        <v>53</v>
      </c>
      <c r="I38" s="19">
        <f>M61/M65</f>
        <v>5.202105326343601</v>
      </c>
      <c r="J38" s="107"/>
      <c r="K38" s="107"/>
      <c r="L38" s="109"/>
      <c r="M38" s="11"/>
      <c r="N38" s="78"/>
      <c r="O38" s="8"/>
      <c r="P38" s="99">
        <v>1.2</v>
      </c>
      <c r="Q38" t="s">
        <v>148</v>
      </c>
    </row>
    <row r="39" spans="1:15" ht="13.5" customHeight="1" thickBot="1">
      <c r="A39" s="77"/>
      <c r="B39" s="9"/>
      <c r="C39" s="13"/>
      <c r="D39" s="32" t="s">
        <v>54</v>
      </c>
      <c r="E39" s="43" t="str">
        <f>IF(F37&lt;4,"Dry",IF(F37&lt;9,"Off Dry",IF(F37&lt;20,"Medium",IF(F37&lt;40,"Med. Sweet","Sweet"))))</f>
        <v>Dry</v>
      </c>
      <c r="F39" s="13"/>
      <c r="G39" s="8"/>
      <c r="H39" s="14" t="s">
        <v>55</v>
      </c>
      <c r="I39" s="19">
        <f>I38/P40</f>
        <v>2.631312759910774</v>
      </c>
      <c r="J39" s="107" t="s">
        <v>42</v>
      </c>
      <c r="K39" s="107"/>
      <c r="L39" s="110">
        <f>M87</f>
        <v>6.299444729109531</v>
      </c>
      <c r="M39" s="106" t="s">
        <v>43</v>
      </c>
      <c r="N39" s="82"/>
      <c r="O39" s="8"/>
    </row>
    <row r="40" spans="1:17" ht="13.5" customHeight="1" thickBot="1">
      <c r="A40" s="77"/>
      <c r="B40" s="9"/>
      <c r="C40" s="13"/>
      <c r="D40" s="8"/>
      <c r="E40" s="8"/>
      <c r="F40" s="13"/>
      <c r="G40" s="8"/>
      <c r="H40" s="14" t="s">
        <v>56</v>
      </c>
      <c r="I40" s="26">
        <f>I35-L37</f>
        <v>0.003984482269907774</v>
      </c>
      <c r="J40" s="107"/>
      <c r="K40" s="107"/>
      <c r="L40" s="111"/>
      <c r="M40" s="106"/>
      <c r="N40" s="82"/>
      <c r="O40" s="8"/>
      <c r="P40" s="2">
        <v>1.977</v>
      </c>
      <c r="Q40" t="s">
        <v>145</v>
      </c>
    </row>
    <row r="41" spans="1:15" ht="12.75">
      <c r="A41" s="77"/>
      <c r="B41" s="16" t="s">
        <v>57</v>
      </c>
      <c r="C41" s="13"/>
      <c r="D41" s="8"/>
      <c r="E41" s="8"/>
      <c r="F41" s="13"/>
      <c r="G41" s="8"/>
      <c r="H41" s="14"/>
      <c r="I41" s="13"/>
      <c r="J41" s="8"/>
      <c r="K41" s="14"/>
      <c r="L41" s="8"/>
      <c r="M41" s="11"/>
      <c r="N41" s="78"/>
      <c r="O41" s="8"/>
    </row>
    <row r="42" spans="1:15" ht="12">
      <c r="A42" s="77"/>
      <c r="B42" s="22" t="s">
        <v>58</v>
      </c>
      <c r="C42" s="13"/>
      <c r="D42" s="8"/>
      <c r="E42" s="14"/>
      <c r="F42" s="13"/>
      <c r="G42" s="8"/>
      <c r="H42" s="12" t="s">
        <v>59</v>
      </c>
      <c r="I42" s="13"/>
      <c r="J42" s="8"/>
      <c r="K42" s="8"/>
      <c r="L42" s="8"/>
      <c r="M42" s="11"/>
      <c r="N42" s="78"/>
      <c r="O42" s="44"/>
    </row>
    <row r="43" spans="1:16" ht="12.75" thickBot="1">
      <c r="A43" s="77"/>
      <c r="B43" s="22"/>
      <c r="C43" s="13"/>
      <c r="D43" s="14" t="s">
        <v>60</v>
      </c>
      <c r="E43" s="20">
        <f>M59/M65</f>
        <v>24.12726358122859</v>
      </c>
      <c r="F43" s="8" t="s">
        <v>6</v>
      </c>
      <c r="G43" s="8"/>
      <c r="H43" s="14" t="s">
        <v>61</v>
      </c>
      <c r="I43" s="26">
        <f>1+E43/P46</f>
        <v>1.0092512513731704</v>
      </c>
      <c r="J43" s="8"/>
      <c r="K43" s="12" t="s">
        <v>62</v>
      </c>
      <c r="L43" s="8"/>
      <c r="M43" s="11"/>
      <c r="N43" s="78"/>
      <c r="O43" s="44"/>
      <c r="P43" t="s">
        <v>63</v>
      </c>
    </row>
    <row r="44" spans="1:17" ht="12.75" thickBot="1">
      <c r="A44" s="77"/>
      <c r="B44" s="22"/>
      <c r="C44" s="13"/>
      <c r="D44" s="14" t="s">
        <v>64</v>
      </c>
      <c r="E44" s="20">
        <f>E43-F37</f>
        <v>21.12726358122859</v>
      </c>
      <c r="F44" s="8" t="s">
        <v>6</v>
      </c>
      <c r="G44" s="8"/>
      <c r="H44" s="14" t="s">
        <v>65</v>
      </c>
      <c r="I44" s="26">
        <f>I43-L37</f>
        <v>0.008799923976778645</v>
      </c>
      <c r="J44" s="8"/>
      <c r="K44" s="32" t="s">
        <v>42</v>
      </c>
      <c r="L44" s="34">
        <f>$Q$44*I44+$P$44*I44^2</f>
        <v>6.254558187594886</v>
      </c>
      <c r="M44" s="11" t="s">
        <v>43</v>
      </c>
      <c r="N44" s="78"/>
      <c r="O44" s="44"/>
      <c r="P44" s="2">
        <v>8040</v>
      </c>
      <c r="Q44" s="2">
        <v>640</v>
      </c>
    </row>
    <row r="45" spans="1:15" ht="12.75">
      <c r="A45" s="77"/>
      <c r="B45" s="16" t="s">
        <v>66</v>
      </c>
      <c r="C45" s="13"/>
      <c r="D45" s="8"/>
      <c r="E45" s="8"/>
      <c r="F45" s="13"/>
      <c r="G45" s="8"/>
      <c r="H45" s="14"/>
      <c r="I45" s="13"/>
      <c r="J45" s="8"/>
      <c r="K45" s="8"/>
      <c r="L45" s="8"/>
      <c r="M45" s="11"/>
      <c r="N45" s="78"/>
      <c r="O45" s="8"/>
    </row>
    <row r="46" spans="1:17" ht="12">
      <c r="A46" s="77"/>
      <c r="B46" s="22" t="s">
        <v>67</v>
      </c>
      <c r="C46" s="13"/>
      <c r="D46" s="8"/>
      <c r="E46" s="14"/>
      <c r="F46" s="13"/>
      <c r="G46" s="8"/>
      <c r="H46" s="14"/>
      <c r="I46" s="13"/>
      <c r="J46" s="8"/>
      <c r="K46" s="8"/>
      <c r="L46" s="8"/>
      <c r="M46" s="11"/>
      <c r="N46" s="78"/>
      <c r="O46" s="44"/>
      <c r="P46" s="2">
        <v>2608</v>
      </c>
      <c r="Q46" t="s">
        <v>150</v>
      </c>
    </row>
    <row r="47" spans="1:17" ht="12">
      <c r="A47" s="77"/>
      <c r="B47" s="9"/>
      <c r="C47" s="12" t="s">
        <v>68</v>
      </c>
      <c r="D47" s="8"/>
      <c r="E47" s="14"/>
      <c r="F47" s="13"/>
      <c r="G47" s="8"/>
      <c r="H47" s="14"/>
      <c r="I47" s="13"/>
      <c r="J47" s="8"/>
      <c r="K47" s="8"/>
      <c r="L47" s="8"/>
      <c r="M47" s="11"/>
      <c r="N47" s="78"/>
      <c r="O47" s="8"/>
      <c r="Q47" t="s">
        <v>151</v>
      </c>
    </row>
    <row r="48" spans="1:15" ht="12">
      <c r="A48" s="77"/>
      <c r="B48" s="9"/>
      <c r="C48" s="13"/>
      <c r="D48" s="8"/>
      <c r="E48" s="14" t="s">
        <v>69</v>
      </c>
      <c r="F48" s="98">
        <v>0</v>
      </c>
      <c r="G48" s="8" t="s">
        <v>22</v>
      </c>
      <c r="H48" s="14"/>
      <c r="I48" s="13"/>
      <c r="J48" s="8"/>
      <c r="K48" s="14" t="s">
        <v>70</v>
      </c>
      <c r="L48" s="20">
        <f>F8*I54/M83</f>
        <v>5.9221214604961405</v>
      </c>
      <c r="M48" s="11" t="s">
        <v>6</v>
      </c>
      <c r="N48" s="78"/>
      <c r="O48" s="8"/>
    </row>
    <row r="49" spans="1:15" ht="12.75" thickBot="1">
      <c r="A49" s="77"/>
      <c r="B49" s="9"/>
      <c r="C49" s="13"/>
      <c r="D49" s="8"/>
      <c r="E49" s="8"/>
      <c r="F49" s="13"/>
      <c r="G49" s="8"/>
      <c r="H49" s="14"/>
      <c r="I49" s="13"/>
      <c r="J49" s="8"/>
      <c r="K49" s="14" t="s">
        <v>71</v>
      </c>
      <c r="L49" s="20">
        <f>(1-F48/100)*L48+L48*F48/200</f>
        <v>5.9221214604961405</v>
      </c>
      <c r="M49" s="11" t="s">
        <v>6</v>
      </c>
      <c r="N49" s="78"/>
      <c r="O49" s="8"/>
    </row>
    <row r="50" spans="1:15" ht="12.75" thickBot="1">
      <c r="A50" s="77"/>
      <c r="B50" s="9"/>
      <c r="C50" s="13"/>
      <c r="D50" s="14" t="s">
        <v>72</v>
      </c>
      <c r="E50" s="20">
        <f>L39/(I35-I50+I24-L28)</f>
        <v>127.6209028670777</v>
      </c>
      <c r="F50" s="13"/>
      <c r="G50" s="8"/>
      <c r="H50" s="14" t="s">
        <v>73</v>
      </c>
      <c r="I50" s="45">
        <f>L93/P69</f>
        <v>1.0004513273963918</v>
      </c>
      <c r="J50" s="8"/>
      <c r="K50" s="14" t="s">
        <v>74</v>
      </c>
      <c r="L50" s="26">
        <f>I50-L37</f>
        <v>0</v>
      </c>
      <c r="M50" s="11"/>
      <c r="N50" s="78"/>
      <c r="O50" s="8"/>
    </row>
    <row r="51" spans="1:15" s="46" customFormat="1" ht="12.75" customHeight="1" thickBot="1">
      <c r="A51" s="83"/>
      <c r="B51" s="47"/>
      <c r="C51" s="48"/>
      <c r="D51" s="48"/>
      <c r="E51" s="48"/>
      <c r="F51" s="48"/>
      <c r="G51" s="48"/>
      <c r="H51" s="48"/>
      <c r="I51" s="48"/>
      <c r="J51" s="48"/>
      <c r="K51" s="48"/>
      <c r="L51" s="48"/>
      <c r="M51" s="49"/>
      <c r="N51" s="84"/>
      <c r="O51" s="50"/>
    </row>
    <row r="52" spans="1:15" s="46" customFormat="1" ht="8.25" customHeight="1">
      <c r="A52" s="85"/>
      <c r="B52" s="86"/>
      <c r="C52" s="86"/>
      <c r="D52" s="86"/>
      <c r="E52" s="86"/>
      <c r="F52" s="86"/>
      <c r="G52" s="86"/>
      <c r="H52" s="86"/>
      <c r="I52" s="86"/>
      <c r="J52" s="86"/>
      <c r="K52" s="86"/>
      <c r="L52" s="86"/>
      <c r="M52" s="86"/>
      <c r="N52" s="87"/>
      <c r="O52" s="50"/>
    </row>
    <row r="53" spans="4:14" s="46" customFormat="1" ht="12">
      <c r="D53" s="51"/>
      <c r="E53" s="52"/>
      <c r="F53" s="52"/>
      <c r="G53" s="52"/>
      <c r="H53" s="52"/>
      <c r="I53" s="52"/>
      <c r="J53" s="52"/>
      <c r="K53" s="52"/>
      <c r="L53" s="52"/>
      <c r="M53" s="52"/>
      <c r="N53" s="52"/>
    </row>
    <row r="54" spans="2:10" s="46" customFormat="1" ht="12.75">
      <c r="B54" s="53" t="s">
        <v>75</v>
      </c>
      <c r="H54" s="51" t="s">
        <v>76</v>
      </c>
      <c r="I54" s="100">
        <v>1</v>
      </c>
      <c r="J54" s="46" t="s">
        <v>77</v>
      </c>
    </row>
    <row r="55" s="46" customFormat="1" ht="12">
      <c r="B55" s="46" t="s">
        <v>78</v>
      </c>
    </row>
    <row r="56" s="46" customFormat="1" ht="12">
      <c r="B56" s="46" t="s">
        <v>79</v>
      </c>
    </row>
    <row r="57" spans="4:20" s="54" customFormat="1" ht="24">
      <c r="D57" s="88" t="s">
        <v>80</v>
      </c>
      <c r="E57" s="54" t="s">
        <v>81</v>
      </c>
      <c r="F57" s="54" t="s">
        <v>82</v>
      </c>
      <c r="G57" s="54" t="s">
        <v>83</v>
      </c>
      <c r="H57" s="54" t="s">
        <v>84</v>
      </c>
      <c r="I57" s="54" t="s">
        <v>85</v>
      </c>
      <c r="J57" s="54" t="s">
        <v>86</v>
      </c>
      <c r="K57" s="54" t="s">
        <v>87</v>
      </c>
      <c r="L57" s="54" t="s">
        <v>84</v>
      </c>
      <c r="M57" s="54" t="s">
        <v>88</v>
      </c>
      <c r="Q57" s="55"/>
      <c r="R57" s="55"/>
      <c r="S57" s="55"/>
      <c r="T57" s="55"/>
    </row>
    <row r="58" spans="4:20" s="46" customFormat="1" ht="12">
      <c r="D58" s="51" t="s">
        <v>89</v>
      </c>
      <c r="E58" s="52">
        <f>I54*L8-E59</f>
        <v>924.7388156286208</v>
      </c>
      <c r="F58" s="52">
        <f>E65*F23*P69/1000</f>
        <v>0</v>
      </c>
      <c r="G58" s="52">
        <f>E58+F58</f>
        <v>924.7388156286208</v>
      </c>
      <c r="H58" s="52">
        <v>0</v>
      </c>
      <c r="I58" s="52">
        <f>G58+H58</f>
        <v>924.7388156286208</v>
      </c>
      <c r="J58" s="52">
        <f>F34*P69/1000*I65</f>
        <v>6.98765282603769</v>
      </c>
      <c r="K58" s="52">
        <f>I58+J58</f>
        <v>931.7264684546585</v>
      </c>
      <c r="L58" s="52">
        <v>0</v>
      </c>
      <c r="M58" s="52">
        <f>K58+L58</f>
        <v>931.7264684546585</v>
      </c>
      <c r="N58" s="52"/>
      <c r="R58" s="56"/>
      <c r="S58" s="56"/>
      <c r="T58"/>
    </row>
    <row r="59" spans="4:20" s="46" customFormat="1" ht="12">
      <c r="D59" s="51" t="s">
        <v>90</v>
      </c>
      <c r="E59" s="52">
        <f>L15*I54</f>
        <v>119.38497417137933</v>
      </c>
      <c r="F59" s="52">
        <f>E65*F22</f>
        <v>0</v>
      </c>
      <c r="G59" s="52">
        <f>E59+F59</f>
        <v>119.38497417137933</v>
      </c>
      <c r="H59" s="52">
        <f>H64</f>
        <v>-96.28002162571572</v>
      </c>
      <c r="I59" s="52">
        <f>G59+H59</f>
        <v>23.104952545663608</v>
      </c>
      <c r="J59" s="52">
        <f>J64</f>
        <v>10.000298715860481</v>
      </c>
      <c r="K59" s="52">
        <f>I59+J59</f>
        <v>33.10525126152409</v>
      </c>
      <c r="L59" s="52">
        <f>L64</f>
        <v>-8.660703399237658</v>
      </c>
      <c r="M59" s="52">
        <f>K59+L59</f>
        <v>24.44454786228643</v>
      </c>
      <c r="N59" s="52"/>
      <c r="P59" s="46" t="s">
        <v>91</v>
      </c>
      <c r="S59" s="56"/>
      <c r="T59"/>
    </row>
    <row r="60" spans="4:20" s="46" customFormat="1" ht="12">
      <c r="D60" s="51" t="s">
        <v>92</v>
      </c>
      <c r="E60" s="52">
        <v>0</v>
      </c>
      <c r="F60" s="52">
        <v>0</v>
      </c>
      <c r="G60" s="52">
        <f>E60+F60</f>
        <v>0</v>
      </c>
      <c r="H60" s="52">
        <f>-H64*$P$60</f>
        <v>46.214410380343544</v>
      </c>
      <c r="I60" s="52">
        <f>G60+H60</f>
        <v>46.214410380343544</v>
      </c>
      <c r="J60" s="52">
        <v>0</v>
      </c>
      <c r="K60" s="52">
        <f>I60+J60</f>
        <v>46.214410380343544</v>
      </c>
      <c r="L60" s="52">
        <f>-L64*$P$60</f>
        <v>4.157137631634075</v>
      </c>
      <c r="M60" s="52">
        <f>K60+L60</f>
        <v>50.37154801197762</v>
      </c>
      <c r="N60" s="52"/>
      <c r="P60" s="101">
        <v>0.48</v>
      </c>
      <c r="Q60" t="s">
        <v>93</v>
      </c>
      <c r="S60" s="56"/>
      <c r="T60"/>
    </row>
    <row r="61" spans="4:20" s="46" customFormat="1" ht="12">
      <c r="D61" s="51" t="s">
        <v>94</v>
      </c>
      <c r="E61" s="52">
        <v>0</v>
      </c>
      <c r="F61" s="52">
        <v>0</v>
      </c>
      <c r="G61" s="52">
        <f>E61+F61</f>
        <v>0</v>
      </c>
      <c r="H61" s="52">
        <f>-H64*$P$61</f>
        <v>45.25161016408639</v>
      </c>
      <c r="I61" s="52">
        <f>P38*G65</f>
        <v>1.1999847347889683</v>
      </c>
      <c r="J61" s="52">
        <v>0</v>
      </c>
      <c r="K61" s="52">
        <f>I61+J61</f>
        <v>1.1999847347889683</v>
      </c>
      <c r="L61" s="52">
        <f>-L64*$P$61</f>
        <v>4.0705305976416986</v>
      </c>
      <c r="M61" s="52">
        <f>K61+L61</f>
        <v>5.270515332430667</v>
      </c>
      <c r="N61" s="52"/>
      <c r="P61" s="101">
        <v>0.47</v>
      </c>
      <c r="Q61" t="s">
        <v>95</v>
      </c>
      <c r="S61" s="56"/>
      <c r="T61"/>
    </row>
    <row r="62" spans="4:20" s="46" customFormat="1" ht="12">
      <c r="D62" s="57" t="s">
        <v>96</v>
      </c>
      <c r="E62" s="58">
        <v>0</v>
      </c>
      <c r="F62" s="58">
        <v>0</v>
      </c>
      <c r="G62" s="58">
        <f>E62+F62</f>
        <v>0</v>
      </c>
      <c r="H62" s="58">
        <f>-H64*$P$62</f>
        <v>4.81400108128579</v>
      </c>
      <c r="I62" s="58">
        <f>G62+H62</f>
        <v>4.81400108128579</v>
      </c>
      <c r="J62" s="58">
        <v>0</v>
      </c>
      <c r="K62" s="58">
        <f>I62+J62</f>
        <v>4.81400108128579</v>
      </c>
      <c r="L62" s="58">
        <f>-L64*$P$62</f>
        <v>0.4330351699618833</v>
      </c>
      <c r="M62" s="58">
        <f>K62+L62</f>
        <v>5.247036251247673</v>
      </c>
      <c r="N62" s="21"/>
      <c r="P62" s="59">
        <f>1-(P60+P61)</f>
        <v>0.050000000000000044</v>
      </c>
      <c r="Q62" t="s">
        <v>97</v>
      </c>
      <c r="S62" s="56"/>
      <c r="T62"/>
    </row>
    <row r="63" spans="4:20" s="46" customFormat="1" ht="12">
      <c r="D63" s="51" t="s">
        <v>98</v>
      </c>
      <c r="E63" s="52">
        <f aca="true" t="shared" si="0" ref="E63:M63">SUM(E58:E62)</f>
        <v>1044.1237898000002</v>
      </c>
      <c r="F63" s="52">
        <f t="shared" si="0"/>
        <v>0</v>
      </c>
      <c r="G63" s="52">
        <f t="shared" si="0"/>
        <v>1044.1237898000002</v>
      </c>
      <c r="H63" s="52">
        <f t="shared" si="0"/>
        <v>0</v>
      </c>
      <c r="I63" s="52">
        <f t="shared" si="0"/>
        <v>1000.0721643707028</v>
      </c>
      <c r="J63" s="52">
        <f t="shared" si="0"/>
        <v>16.98795154189817</v>
      </c>
      <c r="K63" s="52">
        <f t="shared" si="0"/>
        <v>1017.060115912601</v>
      </c>
      <c r="L63" s="52">
        <f t="shared" si="0"/>
        <v>-6.661338147750939E-16</v>
      </c>
      <c r="M63" s="52">
        <f t="shared" si="0"/>
        <v>1017.060115912601</v>
      </c>
      <c r="N63" s="52"/>
      <c r="P63" s="2"/>
      <c r="Q63"/>
      <c r="S63" s="56"/>
      <c r="T63"/>
    </row>
    <row r="64" spans="4:14" s="46" customFormat="1" ht="12">
      <c r="D64" s="51" t="s">
        <v>99</v>
      </c>
      <c r="E64" s="52">
        <f>L17*I54</f>
        <v>97.98000000000009</v>
      </c>
      <c r="F64" s="52">
        <f>F59</f>
        <v>0</v>
      </c>
      <c r="G64" s="52">
        <f>E64+F64</f>
        <v>97.98000000000009</v>
      </c>
      <c r="H64" s="52">
        <f>I64-G64</f>
        <v>-96.28002162571572</v>
      </c>
      <c r="I64" s="52">
        <f>G65*F28</f>
        <v>1.6999783742843717</v>
      </c>
      <c r="J64" s="52">
        <f>F33*I65</f>
        <v>10.000298715860481</v>
      </c>
      <c r="K64" s="52">
        <f>I64+J64</f>
        <v>11.700277090144853</v>
      </c>
      <c r="L64" s="52">
        <f>M64-K64</f>
        <v>-8.660703399237658</v>
      </c>
      <c r="M64" s="52">
        <f>K65*F37</f>
        <v>3.0395736909071944</v>
      </c>
      <c r="N64" s="52"/>
    </row>
    <row r="65" spans="4:14" s="46" customFormat="1" ht="12">
      <c r="D65" s="51" t="s">
        <v>100</v>
      </c>
      <c r="E65" s="60">
        <f>I54</f>
        <v>1</v>
      </c>
      <c r="F65" s="60">
        <f>G65-E65</f>
        <v>-1.2721009193028543E-05</v>
      </c>
      <c r="G65" s="60">
        <f>G83</f>
        <v>0.999987278990807</v>
      </c>
      <c r="H65" s="60">
        <f>I65-G65</f>
        <v>4.2592595241086606E-05</v>
      </c>
      <c r="I65" s="60">
        <f>I83</f>
        <v>1.000029871586048</v>
      </c>
      <c r="J65" s="60">
        <f>K65-I65</f>
        <v>0.013161358716350158</v>
      </c>
      <c r="K65" s="60">
        <f>K83</f>
        <v>1.0131912303023982</v>
      </c>
      <c r="L65" s="60">
        <f>M65-K65</f>
        <v>-4.078412810870624E-05</v>
      </c>
      <c r="M65" s="60">
        <f>M83</f>
        <v>1.0131504461742895</v>
      </c>
      <c r="N65" s="60"/>
    </row>
    <row r="66" spans="4:14" s="46" customFormat="1" ht="12">
      <c r="D66" s="51"/>
      <c r="E66" s="52"/>
      <c r="F66" s="52"/>
      <c r="G66" s="52"/>
      <c r="H66" s="56"/>
      <c r="I66" s="52"/>
      <c r="J66" s="52"/>
      <c r="K66" s="52"/>
      <c r="L66" s="52"/>
      <c r="M66" s="52"/>
      <c r="N66" s="52"/>
    </row>
    <row r="67" spans="2:22" ht="12">
      <c r="B67" s="61" t="s">
        <v>101</v>
      </c>
      <c r="C67" s="23"/>
      <c r="D67" s="23" t="s">
        <v>102</v>
      </c>
      <c r="E67" s="54"/>
      <c r="G67" s="54"/>
      <c r="H67" s="54"/>
      <c r="I67" s="62"/>
      <c r="J67" s="62"/>
      <c r="K67" s="62"/>
      <c r="L67" s="62"/>
      <c r="M67" s="62"/>
      <c r="N67" s="62"/>
      <c r="O67" s="62"/>
      <c r="P67"/>
      <c r="V67" s="2"/>
    </row>
    <row r="68" spans="2:22" ht="12">
      <c r="B68" s="61"/>
      <c r="C68" s="23"/>
      <c r="D68" s="23" t="s">
        <v>103</v>
      </c>
      <c r="E68" s="54"/>
      <c r="G68" s="54"/>
      <c r="H68" s="54"/>
      <c r="I68" s="62"/>
      <c r="J68" s="62"/>
      <c r="K68" s="62"/>
      <c r="L68" s="62"/>
      <c r="M68" s="62"/>
      <c r="N68" s="62"/>
      <c r="O68" s="62"/>
      <c r="P68"/>
      <c r="V68" s="2"/>
    </row>
    <row r="69" spans="2:22" ht="12">
      <c r="B69" s="23" t="s">
        <v>104</v>
      </c>
      <c r="C69"/>
      <c r="E69" s="63"/>
      <c r="F69"/>
      <c r="G69" s="2"/>
      <c r="H69" s="2"/>
      <c r="I69" s="1"/>
      <c r="J69" s="1"/>
      <c r="K69" s="1"/>
      <c r="L69" s="1"/>
      <c r="M69" s="1"/>
      <c r="N69" s="1"/>
      <c r="O69" s="1"/>
      <c r="P69" s="2">
        <v>998.2063</v>
      </c>
      <c r="Q69" t="s">
        <v>105</v>
      </c>
      <c r="S69" s="64"/>
      <c r="U69" s="23"/>
      <c r="V69" s="2"/>
    </row>
    <row r="70" spans="2:24" ht="12">
      <c r="B70" s="2"/>
      <c r="C70"/>
      <c r="D70" s="1" t="s">
        <v>106</v>
      </c>
      <c r="E70" s="52"/>
      <c r="F70" s="52"/>
      <c r="G70" s="52">
        <f>G58+G62</f>
        <v>924.7388156286208</v>
      </c>
      <c r="H70" s="52"/>
      <c r="I70" s="52">
        <f>I58+I62</f>
        <v>929.5528167099067</v>
      </c>
      <c r="J70" s="52"/>
      <c r="K70" s="52">
        <f>K58+K62</f>
        <v>936.5404695359443</v>
      </c>
      <c r="L70" s="52"/>
      <c r="M70" s="52">
        <f>M58+M62</f>
        <v>936.9735047059062</v>
      </c>
      <c r="N70" s="52"/>
      <c r="O70" s="1"/>
      <c r="P70"/>
      <c r="R70" s="63"/>
      <c r="S70" s="63"/>
      <c r="U70" s="1"/>
      <c r="V70" s="52"/>
      <c r="W70" s="63"/>
      <c r="X70" s="63"/>
    </row>
    <row r="71" spans="2:22" ht="12">
      <c r="B71" s="2"/>
      <c r="C71"/>
      <c r="D71" s="1" t="s">
        <v>107</v>
      </c>
      <c r="E71" s="52"/>
      <c r="F71" s="52"/>
      <c r="G71" s="52">
        <f>G59</f>
        <v>119.38497417137933</v>
      </c>
      <c r="H71" s="52"/>
      <c r="I71" s="52">
        <f>I59</f>
        <v>23.104952545663608</v>
      </c>
      <c r="J71" s="52"/>
      <c r="K71" s="52">
        <f>K59</f>
        <v>33.10525126152409</v>
      </c>
      <c r="L71" s="52"/>
      <c r="M71" s="52">
        <f>M59</f>
        <v>24.44454786228643</v>
      </c>
      <c r="N71" s="52"/>
      <c r="O71" s="1"/>
      <c r="P71" s="23" t="s">
        <v>108</v>
      </c>
      <c r="U71" s="1"/>
      <c r="V71" s="52"/>
    </row>
    <row r="72" spans="2:22" ht="12">
      <c r="B72" s="2"/>
      <c r="C72"/>
      <c r="D72" s="1" t="s">
        <v>92</v>
      </c>
      <c r="E72" s="52"/>
      <c r="F72" s="52"/>
      <c r="G72" s="52">
        <v>0</v>
      </c>
      <c r="H72" s="52"/>
      <c r="I72" s="52">
        <f>I60</f>
        <v>46.214410380343544</v>
      </c>
      <c r="J72" s="52"/>
      <c r="K72" s="52">
        <f>K60</f>
        <v>46.214410380343544</v>
      </c>
      <c r="L72" s="52"/>
      <c r="M72" s="52">
        <f>M60</f>
        <v>50.37154801197762</v>
      </c>
      <c r="N72" s="52"/>
      <c r="O72" s="1"/>
      <c r="P72" s="2">
        <v>258.58</v>
      </c>
      <c r="Q72" s="2">
        <v>-225.7</v>
      </c>
      <c r="R72" s="2">
        <v>173.5</v>
      </c>
      <c r="U72" s="1"/>
      <c r="V72" s="52"/>
    </row>
    <row r="73" spans="2:22" ht="12">
      <c r="B73" s="23" t="s">
        <v>109</v>
      </c>
      <c r="C73"/>
      <c r="D73" s="23"/>
      <c r="E73" s="2"/>
      <c r="G73" s="2"/>
      <c r="H73" s="2"/>
      <c r="J73" s="2"/>
      <c r="K73" s="2"/>
      <c r="L73" s="2"/>
      <c r="M73" s="2"/>
      <c r="N73" s="2"/>
      <c r="O73" s="1"/>
      <c r="P73"/>
      <c r="Q73" s="2"/>
      <c r="U73" s="23"/>
      <c r="V73" s="2"/>
    </row>
    <row r="74" spans="2:24" ht="12">
      <c r="B74" s="2"/>
      <c r="C74"/>
      <c r="D74" s="1" t="s">
        <v>110</v>
      </c>
      <c r="E74" s="52"/>
      <c r="F74" s="52"/>
      <c r="G74" s="52">
        <f>G70+G71</f>
        <v>1044.1237898000002</v>
      </c>
      <c r="H74" s="52"/>
      <c r="I74" s="52">
        <f>I70+I71</f>
        <v>952.6577692555703</v>
      </c>
      <c r="J74" s="52"/>
      <c r="K74" s="52">
        <f>K70+K71</f>
        <v>969.6457207974685</v>
      </c>
      <c r="L74" s="52"/>
      <c r="M74" s="52">
        <f>M70+M71</f>
        <v>961.4180525681926</v>
      </c>
      <c r="N74" s="52"/>
      <c r="O74" s="1"/>
      <c r="P74" s="23" t="s">
        <v>111</v>
      </c>
      <c r="S74" s="52"/>
      <c r="U74" s="1"/>
      <c r="V74" s="52"/>
      <c r="W74" s="52"/>
      <c r="X74" s="52"/>
    </row>
    <row r="75" spans="2:24" ht="12">
      <c r="B75" s="2"/>
      <c r="C75"/>
      <c r="D75" s="1" t="s">
        <v>112</v>
      </c>
      <c r="E75" s="52"/>
      <c r="F75" s="52"/>
      <c r="G75" s="52">
        <f>100*G71/G74</f>
        <v>11.43398659600001</v>
      </c>
      <c r="H75" s="52"/>
      <c r="I75" s="52">
        <f>100*I71/I74</f>
        <v>2.425315080747032</v>
      </c>
      <c r="J75" s="52"/>
      <c r="K75" s="52">
        <f>100*K71/K74</f>
        <v>3.4141594761329164</v>
      </c>
      <c r="L75" s="52"/>
      <c r="M75" s="52">
        <f>100*M71/M74</f>
        <v>2.542551369509738</v>
      </c>
      <c r="N75" s="52"/>
      <c r="O75" s="1"/>
      <c r="P75" s="2">
        <v>3.8687</v>
      </c>
      <c r="Q75" s="2">
        <v>0.013048</v>
      </c>
      <c r="R75" s="2">
        <v>4.87E-05</v>
      </c>
      <c r="S75" s="2"/>
      <c r="U75" s="1"/>
      <c r="V75" s="2"/>
      <c r="W75" s="2"/>
      <c r="X75" s="2"/>
    </row>
    <row r="76" spans="2:24" ht="12">
      <c r="B76" s="2"/>
      <c r="C76"/>
      <c r="D76" s="1" t="s">
        <v>41</v>
      </c>
      <c r="E76" s="65"/>
      <c r="F76" s="65"/>
      <c r="G76" s="65">
        <f>1+($P$75*G75+$Q$75*G75^2+$R$75*G75^3)/1000</f>
        <v>1.0460133063448862</v>
      </c>
      <c r="H76" s="65"/>
      <c r="I76" s="65">
        <f>1+($P$75*I75+$Q$75*I75^2+$R$75*I75^3)/1000</f>
        <v>1.009460261546224</v>
      </c>
      <c r="J76" s="65"/>
      <c r="K76" s="65">
        <f>1+($P$75*K75+$Q$75*K75^2+$R$75*K75^3)/1000</f>
        <v>1.0133623906993579</v>
      </c>
      <c r="L76" s="65"/>
      <c r="M76" s="65">
        <f>1+($P$75*M75+$Q$75*M75^2+$R$75*M75^3)/1000</f>
        <v>1.0099215186168264</v>
      </c>
      <c r="N76" s="65"/>
      <c r="O76" s="1"/>
      <c r="S76" s="60"/>
      <c r="U76" s="1"/>
      <c r="V76" s="60"/>
      <c r="W76" s="60"/>
      <c r="X76" s="60"/>
    </row>
    <row r="77" spans="2:24" ht="12">
      <c r="B77" s="23" t="s">
        <v>113</v>
      </c>
      <c r="C77"/>
      <c r="E77" s="2"/>
      <c r="G77" s="2"/>
      <c r="H77" s="2"/>
      <c r="I77" s="65"/>
      <c r="J77" s="2"/>
      <c r="K77" s="2"/>
      <c r="L77" s="2"/>
      <c r="M77" s="2"/>
      <c r="N77" s="2"/>
      <c r="O77" s="66"/>
      <c r="S77" s="2"/>
      <c r="U77" s="23"/>
      <c r="V77" s="2"/>
      <c r="W77" s="2"/>
      <c r="X77" s="2"/>
    </row>
    <row r="78" spans="2:24" ht="12">
      <c r="B78" s="2"/>
      <c r="C78"/>
      <c r="D78" s="1" t="s">
        <v>114</v>
      </c>
      <c r="E78" s="65"/>
      <c r="F78" s="65"/>
      <c r="G78" s="65">
        <f>G72/$P$78</f>
        <v>0</v>
      </c>
      <c r="H78" s="65"/>
      <c r="I78" s="65">
        <f>I72/$P$78</f>
        <v>0.05855558560177328</v>
      </c>
      <c r="J78" s="65"/>
      <c r="K78" s="65">
        <f>K72/$P$78</f>
        <v>0.05855558560177328</v>
      </c>
      <c r="L78" s="65"/>
      <c r="M78" s="65">
        <f>M72/$P$78</f>
        <v>0.06382285237947598</v>
      </c>
      <c r="N78" s="65"/>
      <c r="O78" s="23"/>
      <c r="P78" s="2">
        <v>789.24</v>
      </c>
      <c r="Q78" t="s">
        <v>146</v>
      </c>
      <c r="R78" s="65"/>
      <c r="S78" s="65"/>
      <c r="U78" s="1"/>
      <c r="V78" s="65"/>
      <c r="W78" s="65"/>
      <c r="X78" s="65"/>
    </row>
    <row r="79" spans="2:24" ht="12">
      <c r="B79" s="2"/>
      <c r="C79"/>
      <c r="D79" s="1" t="s">
        <v>115</v>
      </c>
      <c r="E79" s="65"/>
      <c r="F79" s="65"/>
      <c r="G79" s="65">
        <f>G78+G74/(G76*$P$69)</f>
        <v>0.999987278990807</v>
      </c>
      <c r="H79" s="65"/>
      <c r="I79" s="65">
        <f>I78+I74/(I76*$P$69)</f>
        <v>1.0039812337444702</v>
      </c>
      <c r="J79" s="65"/>
      <c r="K79" s="65">
        <f>K78+K74/(K76*$P$69)</f>
        <v>1.0171347755807778</v>
      </c>
      <c r="L79" s="65"/>
      <c r="M79" s="65">
        <f>M78+M74/(M76*$P$69)</f>
        <v>1.017506509139433</v>
      </c>
      <c r="N79" s="65"/>
      <c r="O79" s="1"/>
      <c r="R79" s="65"/>
      <c r="S79" s="65"/>
      <c r="U79" s="1"/>
      <c r="V79" s="65"/>
      <c r="W79" s="65"/>
      <c r="X79" s="65"/>
    </row>
    <row r="80" spans="2:24" ht="12">
      <c r="B80" s="2"/>
      <c r="C80"/>
      <c r="D80" s="66" t="s">
        <v>116</v>
      </c>
      <c r="E80" s="65"/>
      <c r="F80" s="65"/>
      <c r="G80" s="65">
        <f>100*G78/G79</f>
        <v>0</v>
      </c>
      <c r="H80" s="65"/>
      <c r="I80" s="65">
        <f>100*I78/I79</f>
        <v>5.832338656708064</v>
      </c>
      <c r="J80" s="65"/>
      <c r="K80" s="65">
        <f>100*K78/K79</f>
        <v>5.7569151117007475</v>
      </c>
      <c r="L80" s="65"/>
      <c r="M80" s="65">
        <f>100*M78/M79</f>
        <v>6.272476078158442</v>
      </c>
      <c r="N80" s="65"/>
      <c r="O80" s="1"/>
      <c r="P80" s="23" t="s">
        <v>117</v>
      </c>
      <c r="S80" s="2"/>
      <c r="U80" s="66"/>
      <c r="V80" s="2"/>
      <c r="W80" s="2"/>
      <c r="X80" s="2"/>
    </row>
    <row r="81" spans="2:24" ht="12">
      <c r="B81" s="2"/>
      <c r="C81"/>
      <c r="D81" s="66" t="s">
        <v>118</v>
      </c>
      <c r="E81" s="65"/>
      <c r="F81" s="65"/>
      <c r="G81" s="65">
        <f>($P$81*G80^3+$Q$81*G80^2+$R$81*G80)*(1+$P$85/100)</f>
        <v>0</v>
      </c>
      <c r="H81" s="65"/>
      <c r="I81" s="65">
        <f>($P$81*I80^3+$Q$81*I80^2+$R$81*I80)*(1+$P$85/100)</f>
        <v>-0.39356932436725744</v>
      </c>
      <c r="J81" s="65"/>
      <c r="K81" s="65">
        <f>($P$81*K80^3+$Q$81*K80^2+$R$81*K80)*(1+$P$85/100)</f>
        <v>-0.3877111837148607</v>
      </c>
      <c r="L81" s="65"/>
      <c r="M81" s="65">
        <f>($P$81*M80^3+$Q$81*M80^2+$R$81*M80)*(1+$P$85/100)</f>
        <v>-0.4281115576182252</v>
      </c>
      <c r="N81" s="65"/>
      <c r="O81" s="1"/>
      <c r="P81" s="67">
        <v>3.15E-05</v>
      </c>
      <c r="Q81" s="2">
        <v>-0.002135</v>
      </c>
      <c r="R81" s="2">
        <v>-0.0561</v>
      </c>
      <c r="S81" s="60"/>
      <c r="U81" s="66"/>
      <c r="V81" s="60"/>
      <c r="W81" s="60"/>
      <c r="X81" s="60"/>
    </row>
    <row r="82" spans="2:24" ht="12">
      <c r="B82" s="23" t="s">
        <v>119</v>
      </c>
      <c r="C82"/>
      <c r="E82" s="65"/>
      <c r="F82" s="65"/>
      <c r="G82" s="65"/>
      <c r="H82" s="65"/>
      <c r="I82" s="65"/>
      <c r="J82" s="65"/>
      <c r="K82" s="65"/>
      <c r="L82" s="65"/>
      <c r="M82" s="65"/>
      <c r="N82" s="65"/>
      <c r="O82" s="1"/>
      <c r="P82" s="65"/>
      <c r="Q82" s="65"/>
      <c r="R82" s="65"/>
      <c r="S82" s="65"/>
      <c r="U82" s="23"/>
      <c r="V82" s="65"/>
      <c r="W82" s="65"/>
      <c r="X82" s="65"/>
    </row>
    <row r="83" spans="2:24" ht="12">
      <c r="B83" s="2"/>
      <c r="C83"/>
      <c r="D83" s="1" t="s">
        <v>120</v>
      </c>
      <c r="E83" s="65"/>
      <c r="F83" s="65"/>
      <c r="G83" s="65">
        <f>G79*(1+G81/100)</f>
        <v>0.999987278990807</v>
      </c>
      <c r="H83" s="65"/>
      <c r="I83" s="65">
        <f>I79*(1+I81/100)</f>
        <v>1.000029871586048</v>
      </c>
      <c r="J83" s="65"/>
      <c r="K83" s="65">
        <f>K79*(1+K81/100)</f>
        <v>1.0131912303023982</v>
      </c>
      <c r="L83" s="65"/>
      <c r="M83" s="65">
        <f>M79*(1+M81/100)</f>
        <v>1.0131504461742895</v>
      </c>
      <c r="N83" s="65"/>
      <c r="O83" s="1"/>
      <c r="P83" s="23" t="s">
        <v>144</v>
      </c>
      <c r="Q83" s="65"/>
      <c r="R83" s="65"/>
      <c r="S83" s="65"/>
      <c r="U83" s="1"/>
      <c r="V83" s="65"/>
      <c r="W83" s="65"/>
      <c r="X83" s="65"/>
    </row>
    <row r="84" spans="2:24" ht="12">
      <c r="B84" s="2"/>
      <c r="C84"/>
      <c r="D84" s="1" t="s">
        <v>121</v>
      </c>
      <c r="E84" s="52"/>
      <c r="F84" s="52"/>
      <c r="G84" s="52">
        <f>G74+G72</f>
        <v>1044.1237898000002</v>
      </c>
      <c r="H84" s="52"/>
      <c r="I84" s="52">
        <f>I74+I72</f>
        <v>998.8721796359139</v>
      </c>
      <c r="J84" s="52"/>
      <c r="K84" s="52">
        <f>K74+K72</f>
        <v>1015.860131177812</v>
      </c>
      <c r="L84" s="52"/>
      <c r="M84" s="52">
        <f>M74+M72</f>
        <v>1011.7896005801703</v>
      </c>
      <c r="N84" s="52"/>
      <c r="O84" s="1"/>
      <c r="P84" s="23" t="s">
        <v>147</v>
      </c>
      <c r="R84" s="65"/>
      <c r="S84" s="65"/>
      <c r="U84" s="1"/>
      <c r="V84" s="65"/>
      <c r="W84" s="65"/>
      <c r="X84" s="65"/>
    </row>
    <row r="85" spans="2:24" ht="12">
      <c r="B85" s="2"/>
      <c r="C85"/>
      <c r="D85" s="1" t="s">
        <v>122</v>
      </c>
      <c r="E85" s="52"/>
      <c r="F85" s="52"/>
      <c r="G85" s="52">
        <f>G84/G83</f>
        <v>1044.1370722772954</v>
      </c>
      <c r="H85" s="52"/>
      <c r="I85" s="52">
        <f>I84/I83</f>
        <v>998.8423426309275</v>
      </c>
      <c r="J85" s="52"/>
      <c r="K85" s="52">
        <f>K84/K83</f>
        <v>1002.6341531545011</v>
      </c>
      <c r="L85" s="52"/>
      <c r="M85" s="52">
        <f>M84/M83</f>
        <v>998.6568178504408</v>
      </c>
      <c r="N85" s="52"/>
      <c r="O85" s="1"/>
      <c r="P85" s="102">
        <v>0</v>
      </c>
      <c r="Q85" s="71" t="s">
        <v>143</v>
      </c>
      <c r="R85" s="65"/>
      <c r="S85" s="65"/>
      <c r="U85" s="1"/>
      <c r="V85" s="65"/>
      <c r="W85" s="65"/>
      <c r="X85" s="65"/>
    </row>
    <row r="86" spans="2:24" ht="12">
      <c r="B86" s="2"/>
      <c r="C86"/>
      <c r="D86" s="1" t="s">
        <v>41</v>
      </c>
      <c r="E86" s="65"/>
      <c r="F86" s="65"/>
      <c r="G86" s="65">
        <f>G85/$P$69</f>
        <v>1.0460133063448862</v>
      </c>
      <c r="H86" s="65"/>
      <c r="I86" s="65">
        <f>I85/$P$69</f>
        <v>1.0006371855506497</v>
      </c>
      <c r="J86" s="65"/>
      <c r="K86" s="65">
        <f>K85/$P$69</f>
        <v>1.0044358096662995</v>
      </c>
      <c r="L86" s="65"/>
      <c r="M86" s="65">
        <f>M85/$P$69</f>
        <v>1.0004513273963918</v>
      </c>
      <c r="N86" s="65"/>
      <c r="O86" s="1"/>
      <c r="P86" s="65"/>
      <c r="Q86" s="65"/>
      <c r="R86" s="65"/>
      <c r="S86" s="65"/>
      <c r="U86" s="1"/>
      <c r="V86" s="65"/>
      <c r="W86" s="65"/>
      <c r="X86" s="65"/>
    </row>
    <row r="87" spans="2:24" ht="12">
      <c r="B87" s="2"/>
      <c r="C87"/>
      <c r="D87" s="1" t="s">
        <v>123</v>
      </c>
      <c r="E87" s="56"/>
      <c r="F87" s="56"/>
      <c r="G87" s="56">
        <f>100*G78/G83</f>
        <v>0</v>
      </c>
      <c r="H87" s="56"/>
      <c r="I87" s="56">
        <f>100*I78/I83</f>
        <v>5.855383650580765</v>
      </c>
      <c r="J87" s="56"/>
      <c r="K87" s="56">
        <f>100*K78/K83</f>
        <v>5.77932219017497</v>
      </c>
      <c r="L87" s="56"/>
      <c r="M87" s="56">
        <f>100*M78/M83</f>
        <v>6.299444729109531</v>
      </c>
      <c r="N87" s="56"/>
      <c r="O87" s="1"/>
      <c r="P87"/>
      <c r="Q87" s="2"/>
      <c r="R87" s="2"/>
      <c r="S87" s="2"/>
      <c r="U87" s="1"/>
      <c r="V87" s="2"/>
      <c r="W87" s="2"/>
      <c r="X87" s="2"/>
    </row>
    <row r="88" spans="2:24" ht="12">
      <c r="B88" s="2"/>
      <c r="C88"/>
      <c r="D88" s="1"/>
      <c r="E88" s="56"/>
      <c r="F88" s="56"/>
      <c r="G88" s="56"/>
      <c r="H88" s="56"/>
      <c r="I88" s="56"/>
      <c r="J88" s="56"/>
      <c r="K88" s="56"/>
      <c r="L88" s="56"/>
      <c r="M88" s="56"/>
      <c r="N88" s="56"/>
      <c r="O88" s="1"/>
      <c r="P88"/>
      <c r="Q88" s="2"/>
      <c r="R88" s="2"/>
      <c r="S88" s="2"/>
      <c r="U88" s="1"/>
      <c r="V88" s="2"/>
      <c r="W88" s="2"/>
      <c r="X88" s="2"/>
    </row>
    <row r="89" spans="2:5" ht="12">
      <c r="B89" s="68" t="s">
        <v>124</v>
      </c>
      <c r="E89" s="23" t="s">
        <v>125</v>
      </c>
    </row>
    <row r="90" spans="4:17" ht="12">
      <c r="D90" s="1" t="s">
        <v>126</v>
      </c>
      <c r="E90" s="1" t="s">
        <v>110</v>
      </c>
      <c r="F90" s="56">
        <f>L48*F48/100</f>
        <v>0</v>
      </c>
      <c r="G90" t="s">
        <v>127</v>
      </c>
      <c r="K90" s="69" t="s">
        <v>128</v>
      </c>
      <c r="L90" s="56">
        <f>1000*F90/P93</f>
        <v>0</v>
      </c>
      <c r="M90" t="s">
        <v>129</v>
      </c>
      <c r="P90" s="2">
        <v>90</v>
      </c>
      <c r="Q90" s="23" t="s">
        <v>130</v>
      </c>
    </row>
    <row r="91" spans="4:17" ht="12">
      <c r="D91" s="1" t="s">
        <v>131</v>
      </c>
      <c r="E91" s="1" t="s">
        <v>110</v>
      </c>
      <c r="F91" s="56">
        <f>F90*P90/P91</f>
        <v>0</v>
      </c>
      <c r="G91" t="s">
        <v>127</v>
      </c>
      <c r="K91" s="69" t="s">
        <v>128</v>
      </c>
      <c r="L91" s="56">
        <f>1000*F91/P92</f>
        <v>0</v>
      </c>
      <c r="M91" t="s">
        <v>129</v>
      </c>
      <c r="P91" s="2">
        <v>134</v>
      </c>
      <c r="Q91" s="23" t="s">
        <v>132</v>
      </c>
    </row>
    <row r="92" spans="5:17" ht="12">
      <c r="E92" s="1" t="s">
        <v>133</v>
      </c>
      <c r="F92" s="56">
        <f>F91-F90</f>
        <v>0</v>
      </c>
      <c r="G92" t="s">
        <v>134</v>
      </c>
      <c r="K92" s="69" t="s">
        <v>135</v>
      </c>
      <c r="L92" s="56">
        <f>L91-L90</f>
        <v>0</v>
      </c>
      <c r="M92" t="s">
        <v>129</v>
      </c>
      <c r="P92" s="70">
        <v>1250</v>
      </c>
      <c r="Q92" t="s">
        <v>136</v>
      </c>
    </row>
    <row r="93" spans="3:17" ht="12">
      <c r="C93" s="1" t="s">
        <v>137</v>
      </c>
      <c r="D93" s="52">
        <f>M85+F92</f>
        <v>998.6568178504408</v>
      </c>
      <c r="E93" s="23" t="s">
        <v>138</v>
      </c>
      <c r="F93" s="60"/>
      <c r="G93" s="1" t="s">
        <v>139</v>
      </c>
      <c r="H93" s="65">
        <f>1+L92/1000</f>
        <v>1</v>
      </c>
      <c r="I93" t="s">
        <v>140</v>
      </c>
      <c r="K93" s="1" t="s">
        <v>141</v>
      </c>
      <c r="L93" s="52">
        <f>D93/H93</f>
        <v>998.6568178504408</v>
      </c>
      <c r="M93" t="s">
        <v>6</v>
      </c>
      <c r="P93" s="70">
        <v>1610</v>
      </c>
      <c r="Q93" t="s">
        <v>142</v>
      </c>
    </row>
    <row r="94" ht="12">
      <c r="B94" s="23"/>
    </row>
    <row r="97" s="89" customFormat="1" ht="12">
      <c r="B97" s="89" t="s">
        <v>163</v>
      </c>
    </row>
    <row r="98" s="89" customFormat="1" ht="12">
      <c r="B98" s="89" t="s">
        <v>154</v>
      </c>
    </row>
    <row r="99" s="89" customFormat="1" ht="12.75">
      <c r="B99" s="90" t="s">
        <v>153</v>
      </c>
    </row>
    <row r="100" s="89" customFormat="1" ht="12">
      <c r="B100" s="89" t="s">
        <v>155</v>
      </c>
    </row>
    <row r="101" s="89" customFormat="1" ht="12">
      <c r="B101" s="89" t="s">
        <v>156</v>
      </c>
    </row>
    <row r="104" ht="12">
      <c r="B104" t="s">
        <v>162</v>
      </c>
    </row>
  </sheetData>
  <sheetProtection/>
  <mergeCells count="5">
    <mergeCell ref="M39:M40"/>
    <mergeCell ref="J37:K38"/>
    <mergeCell ref="L37:L38"/>
    <mergeCell ref="J39:K40"/>
    <mergeCell ref="L39:L40"/>
  </mergeCells>
  <printOptions/>
  <pageMargins left="0.75" right="0.75" top="1" bottom="1" header="0.4921259845" footer="0.492125984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dc:creator>
  <cp:keywords/>
  <dc:description/>
  <cp:lastModifiedBy>Hillary</cp:lastModifiedBy>
  <cp:lastPrinted>2012-01-29T16:51:59Z</cp:lastPrinted>
  <dcterms:created xsi:type="dcterms:W3CDTF">2011-05-07T21:11:42Z</dcterms:created>
  <dcterms:modified xsi:type="dcterms:W3CDTF">2013-09-20T14:46:11Z</dcterms:modified>
  <cp:category/>
  <cp:version/>
  <cp:contentType/>
  <cp:contentStatus/>
</cp:coreProperties>
</file>